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EZC~1.MA0\AppData\Local\Temp\notes256C9A\"/>
    </mc:Choice>
  </mc:AlternateContent>
  <bookViews>
    <workbookView xWindow="0" yWindow="0" windowWidth="23040" windowHeight="9228"/>
  </bookViews>
  <sheets>
    <sheet name="Concentré " sheetId="2" r:id="rId1"/>
  </sheets>
  <definedNames>
    <definedName name="_xlnm._FilterDatabase" localSheetId="0" hidden="1">'Concentré '!$A$45:$Q$45</definedName>
    <definedName name="_xlnm.Print_Area" localSheetId="0">'Concentré '!$A$18:$S$26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2" l="1"/>
  <c r="L20" i="2"/>
  <c r="L21" i="2"/>
  <c r="L22" i="2"/>
  <c r="L23" i="2"/>
  <c r="L24" i="2"/>
  <c r="L25" i="2"/>
  <c r="L19" i="2"/>
  <c r="R20" i="2"/>
  <c r="R21" i="2"/>
  <c r="R22" i="2"/>
  <c r="R23" i="2"/>
  <c r="R24" i="2"/>
  <c r="R25" i="2"/>
  <c r="R19" i="2"/>
  <c r="Q20" i="2"/>
  <c r="Q21" i="2"/>
  <c r="Q22" i="2"/>
  <c r="Q23" i="2"/>
  <c r="Q24" i="2"/>
  <c r="Q25" i="2"/>
  <c r="Q19" i="2"/>
  <c r="P20" i="2"/>
  <c r="P21" i="2"/>
  <c r="P22" i="2"/>
  <c r="P23" i="2"/>
  <c r="P24" i="2"/>
  <c r="P25" i="2"/>
  <c r="P19" i="2"/>
  <c r="O20" i="2"/>
  <c r="O21" i="2"/>
  <c r="O22" i="2"/>
  <c r="O23" i="2"/>
  <c r="O24" i="2"/>
  <c r="O25" i="2"/>
  <c r="O19" i="2"/>
  <c r="N20" i="2"/>
  <c r="N21" i="2"/>
  <c r="N22" i="2"/>
  <c r="N23" i="2"/>
  <c r="N24" i="2"/>
  <c r="N25" i="2"/>
  <c r="N19" i="2"/>
  <c r="K20" i="2"/>
  <c r="K21" i="2"/>
  <c r="K22" i="2"/>
  <c r="K23" i="2"/>
  <c r="K24" i="2"/>
  <c r="K25" i="2"/>
  <c r="K19" i="2"/>
  <c r="J20" i="2"/>
  <c r="J21" i="2"/>
  <c r="J22" i="2"/>
  <c r="J23" i="2"/>
  <c r="J24" i="2"/>
  <c r="J25" i="2"/>
  <c r="J19" i="2"/>
  <c r="I20" i="2"/>
  <c r="I21" i="2"/>
  <c r="I22" i="2"/>
  <c r="I23" i="2"/>
  <c r="I24" i="2"/>
  <c r="I25" i="2"/>
  <c r="I19" i="2"/>
  <c r="H20" i="2"/>
  <c r="H21" i="2"/>
  <c r="H22" i="2"/>
  <c r="H23" i="2"/>
  <c r="H24" i="2"/>
  <c r="H25" i="2"/>
  <c r="H19" i="2"/>
  <c r="O33" i="2" l="1"/>
  <c r="B26" i="2"/>
  <c r="B8" i="2"/>
  <c r="C141" i="2" l="1"/>
  <c r="B5" i="2"/>
  <c r="B9" i="2"/>
  <c r="C25" i="2" l="1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B141" i="2"/>
  <c r="L26" i="2" l="1"/>
  <c r="Q42" i="2" s="1"/>
  <c r="M25" i="2"/>
  <c r="G25" i="2"/>
  <c r="F25" i="2"/>
  <c r="E25" i="2"/>
  <c r="D25" i="2"/>
  <c r="M24" i="2"/>
  <c r="G24" i="2"/>
  <c r="F24" i="2"/>
  <c r="E24" i="2"/>
  <c r="D24" i="2"/>
  <c r="C24" i="2"/>
  <c r="M23" i="2"/>
  <c r="G23" i="2"/>
  <c r="F23" i="2"/>
  <c r="E23" i="2"/>
  <c r="D23" i="2"/>
  <c r="C23" i="2"/>
  <c r="M22" i="2"/>
  <c r="G22" i="2"/>
  <c r="F22" i="2"/>
  <c r="E22" i="2"/>
  <c r="D22" i="2"/>
  <c r="C22" i="2"/>
  <c r="M21" i="2"/>
  <c r="G21" i="2"/>
  <c r="F21" i="2"/>
  <c r="E21" i="2"/>
  <c r="D21" i="2"/>
  <c r="C21" i="2"/>
  <c r="M20" i="2"/>
  <c r="G20" i="2"/>
  <c r="F20" i="2"/>
  <c r="E20" i="2"/>
  <c r="D20" i="2"/>
  <c r="C20" i="2"/>
  <c r="M19" i="2"/>
  <c r="G19" i="2"/>
  <c r="F19" i="2"/>
  <c r="E19" i="2"/>
  <c r="D19" i="2"/>
  <c r="C19" i="2"/>
  <c r="B4" i="2"/>
  <c r="I26" i="2" l="1"/>
  <c r="I42" i="2" s="1"/>
  <c r="H26" i="2"/>
  <c r="H42" i="2" s="1"/>
  <c r="K8" i="2"/>
  <c r="C26" i="2"/>
  <c r="B42" i="2" s="1"/>
  <c r="B13" i="2" s="1"/>
  <c r="G26" i="2"/>
  <c r="G42" i="2" s="1"/>
  <c r="K26" i="2"/>
  <c r="K42" i="2" s="1"/>
  <c r="J13" i="2" s="1"/>
  <c r="H137" i="2" s="1"/>
  <c r="P26" i="2"/>
  <c r="N42" i="2" s="1"/>
  <c r="K7" i="2"/>
  <c r="D26" i="2"/>
  <c r="M26" i="2"/>
  <c r="E42" i="2" s="1"/>
  <c r="Q26" i="2"/>
  <c r="O42" i="2" s="1"/>
  <c r="E26" i="2"/>
  <c r="D42" i="2" s="1"/>
  <c r="D13" i="2" s="1"/>
  <c r="N26" i="2"/>
  <c r="L42" i="2" s="1"/>
  <c r="R26" i="2"/>
  <c r="F26" i="2"/>
  <c r="F42" i="2" s="1"/>
  <c r="J26" i="2"/>
  <c r="J42" i="2" s="1"/>
  <c r="O26" i="2"/>
  <c r="M42" i="2" s="1"/>
  <c r="K13" i="2" l="1"/>
  <c r="P42" i="2"/>
  <c r="C138" i="2"/>
  <c r="L13" i="2"/>
  <c r="I137" i="2" s="1"/>
  <c r="M138" i="2"/>
  <c r="Q13" i="2"/>
  <c r="L138" i="2"/>
  <c r="P13" i="2"/>
  <c r="M137" i="2" s="1"/>
  <c r="K138" i="2"/>
  <c r="O13" i="2"/>
  <c r="L137" i="2" s="1"/>
  <c r="J138" i="2"/>
  <c r="N13" i="2"/>
  <c r="K137" i="2" s="1"/>
  <c r="I138" i="2"/>
  <c r="M13" i="2"/>
  <c r="J137" i="2" s="1"/>
  <c r="H138" i="2"/>
  <c r="I13" i="2"/>
  <c r="G137" i="2" s="1"/>
  <c r="E138" i="2"/>
  <c r="F13" i="2"/>
  <c r="D137" i="2" s="1"/>
  <c r="G138" i="2"/>
  <c r="H13" i="2"/>
  <c r="F137" i="2" s="1"/>
  <c r="B138" i="2"/>
  <c r="C42" i="2"/>
  <c r="C13" i="2" s="1"/>
  <c r="D138" i="2"/>
  <c r="E13" i="2"/>
  <c r="F138" i="2"/>
  <c r="G13" i="2"/>
  <c r="E137" i="2" s="1"/>
  <c r="K3" i="2" l="1"/>
  <c r="B137" i="2"/>
  <c r="K4" i="2"/>
  <c r="C137" i="2"/>
  <c r="I5" i="2" l="1"/>
</calcChain>
</file>

<file path=xl/comments1.xml><?xml version="1.0" encoding="utf-8"?>
<comments xmlns="http://schemas.openxmlformats.org/spreadsheetml/2006/main">
  <authors>
    <author>Clément PRIEZ</author>
  </authors>
  <commentList>
    <comment ref="I5" authorId="0" shapeId="0">
      <text>
        <r>
          <rPr>
            <b/>
            <sz val="11"/>
            <color indexed="81"/>
            <rFont val="Verdana"/>
            <family val="2"/>
          </rPr>
          <t>Le prix d'équivalence ne prend pas en compte les intéractions digestives      (ex: acidose) et les améliorations de performances (ex: TP ou TB)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>
      <text>
        <r>
          <rPr>
            <b/>
            <sz val="12"/>
            <color indexed="81"/>
            <rFont val="Tahoma"/>
            <family val="2"/>
          </rPr>
          <t xml:space="preserve">Rajoutez 0,025 €/T </t>
        </r>
        <r>
          <rPr>
            <sz val="12"/>
            <color indexed="81"/>
            <rFont val="Tahoma"/>
            <family val="2"/>
          </rPr>
          <t xml:space="preserve">
pour l'aplattisage par une entreprise</t>
        </r>
      </text>
    </comment>
    <comment ref="I18" authorId="0" shapeId="0">
      <text>
        <r>
          <rPr>
            <b/>
            <sz val="11"/>
            <color indexed="81"/>
            <rFont val="Verdana"/>
            <family val="2"/>
          </rPr>
          <t>Pour les concentrés veaux, il faut être supérieur à 120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Verdana"/>
            <family val="2"/>
          </rPr>
          <t>Ne pas dépasser 250 pour les rations riche en maïs ensilage</t>
        </r>
      </text>
    </comment>
    <comment ref="S18" authorId="0" shapeId="0">
      <text>
        <r>
          <rPr>
            <b/>
            <sz val="12"/>
            <color indexed="81"/>
            <rFont val="Verdana"/>
            <family val="2"/>
          </rPr>
          <t>Le prix des céréales sont estimés au prix de vente, départ exploitation</t>
        </r>
        <r>
          <rPr>
            <sz val="12"/>
            <color indexed="81"/>
            <rFont val="Verdan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<sst xmlns="http://schemas.openxmlformats.org/spreadsheetml/2006/main" count="216" uniqueCount="159">
  <si>
    <t>Coût de l'UF en €/kg</t>
  </si>
  <si>
    <t>Coût du kg PDI en €/kg PDIE</t>
  </si>
  <si>
    <t>Valeur NA en UFL/kg brut</t>
  </si>
  <si>
    <t xml:space="preserve"> % </t>
  </si>
  <si>
    <t>UFL</t>
  </si>
  <si>
    <t>PDIN</t>
  </si>
  <si>
    <t>PDIE</t>
  </si>
  <si>
    <t>PDIA</t>
  </si>
  <si>
    <t>P</t>
  </si>
  <si>
    <t>MS</t>
  </si>
  <si>
    <t>Tourteau de colza</t>
  </si>
  <si>
    <t>Avoine</t>
  </si>
  <si>
    <t>Maïs</t>
  </si>
  <si>
    <t>Triticale</t>
  </si>
  <si>
    <t>Corn gluten feed</t>
  </si>
  <si>
    <t>Pulpe de betterave déshydratée</t>
  </si>
  <si>
    <t>Drèches de distillerie de blé, amidon &gt; 7% sur brut</t>
  </si>
  <si>
    <t>Luzerne 25% MAT</t>
  </si>
  <si>
    <t>Tourteau de cacao</t>
  </si>
  <si>
    <t>Tourteau de soja 48</t>
  </si>
  <si>
    <t>Tourteau de soja tanné</t>
  </si>
  <si>
    <t>UFV</t>
  </si>
  <si>
    <t>MAT</t>
  </si>
  <si>
    <t>CB</t>
  </si>
  <si>
    <t>Ca</t>
  </si>
  <si>
    <t>Lysdi</t>
  </si>
  <si>
    <t>Met di</t>
  </si>
  <si>
    <t>Orge standard</t>
  </si>
  <si>
    <t>Blé tendre</t>
  </si>
  <si>
    <t>Son de blé dur</t>
  </si>
  <si>
    <t>Tourteau de tournesol partiellement décortiqué</t>
  </si>
  <si>
    <t>Tourteau de lin déshuilé</t>
  </si>
  <si>
    <t>2 MS</t>
  </si>
  <si>
    <t>3 UFL</t>
  </si>
  <si>
    <t>11 CB</t>
  </si>
  <si>
    <t>10 MAT</t>
  </si>
  <si>
    <t>12 P abs</t>
  </si>
  <si>
    <t>13 Ca abs</t>
  </si>
  <si>
    <t>6 PDIN</t>
  </si>
  <si>
    <t>7 PDIE</t>
  </si>
  <si>
    <t>15 LysDi</t>
  </si>
  <si>
    <t>16 MetDI</t>
  </si>
  <si>
    <t>Amidon</t>
  </si>
  <si>
    <t>NDF</t>
  </si>
  <si>
    <t>17 amidon</t>
  </si>
  <si>
    <t>18 NDF</t>
  </si>
  <si>
    <t>Nouveau aliment</t>
  </si>
  <si>
    <t>Ancien aliment</t>
  </si>
  <si>
    <t>rien</t>
  </si>
  <si>
    <t>Valeur NA PDIE/kg brut</t>
  </si>
  <si>
    <t>Choix des aliments</t>
  </si>
  <si>
    <t>en €/Tonnes</t>
  </si>
  <si>
    <t>Quel est votre concentré énergétique ?</t>
  </si>
  <si>
    <t>Quel est votre correcteur azotée ?</t>
  </si>
  <si>
    <t xml:space="preserve">Valeur UFL </t>
  </si>
  <si>
    <t xml:space="preserve">Valeur PDIN </t>
  </si>
  <si>
    <t>1. Calcul Prix d'équivalence sur les bases nutritives</t>
  </si>
  <si>
    <t>0,75 UFL- 80 à 90 g de PDI- 13% de MAT</t>
  </si>
  <si>
    <t>Au 3ème mois</t>
  </si>
  <si>
    <t>4ème au 6 ème mois</t>
  </si>
  <si>
    <t>3 kg</t>
  </si>
  <si>
    <t>2,5 kg</t>
  </si>
  <si>
    <t>3,5 kg</t>
  </si>
  <si>
    <t>Concentré disitibué kg/ jour</t>
  </si>
  <si>
    <t>Paille ( 0,4 UFL)</t>
  </si>
  <si>
    <t>Bon foin (0,7 UFL)</t>
  </si>
  <si>
    <t xml:space="preserve">Objectif : </t>
  </si>
  <si>
    <t xml:space="preserve">Mash fermier : </t>
  </si>
  <si>
    <t>1 UF + 110 g de PDI+ 5 g de P + 10 g Ca/kg Brut</t>
  </si>
  <si>
    <t>2. Réaliser son concentré de production VL ou son mash veaux</t>
  </si>
  <si>
    <t>Seigle</t>
  </si>
  <si>
    <t>Corn gluten meal</t>
  </si>
  <si>
    <t>Son de mais</t>
  </si>
  <si>
    <t>Tourteau de germes de mais déshuilé</t>
  </si>
  <si>
    <t>Farine de mais</t>
  </si>
  <si>
    <t>Gluten feed blé</t>
  </si>
  <si>
    <t>Graine de coton</t>
  </si>
  <si>
    <t>Graine de soja toastée</t>
  </si>
  <si>
    <t>Pois</t>
  </si>
  <si>
    <t>Févérole</t>
  </si>
  <si>
    <t>Lupin blanc</t>
  </si>
  <si>
    <t>Tourteau de colza tanné</t>
  </si>
  <si>
    <t>Carbonate de calcium</t>
  </si>
  <si>
    <t>Mélasse de canne</t>
  </si>
  <si>
    <t>Mais humide</t>
  </si>
  <si>
    <t>Mais toastée</t>
  </si>
  <si>
    <t>Mais floconné</t>
  </si>
  <si>
    <t>Févérole Toasté</t>
  </si>
  <si>
    <t>Févrole extrudée</t>
  </si>
  <si>
    <t>lupin bleu toasté</t>
  </si>
  <si>
    <t>Avoine floconnée</t>
  </si>
  <si>
    <t>Orge toastée</t>
  </si>
  <si>
    <t>MG</t>
  </si>
  <si>
    <t>PRIX ( €/T)</t>
  </si>
  <si>
    <t>Foin Moyen</t>
  </si>
  <si>
    <t>Bon Foin</t>
  </si>
  <si>
    <t>Foin de luzerne</t>
  </si>
  <si>
    <t>5 PDIA</t>
  </si>
  <si>
    <t>4 UFV</t>
  </si>
  <si>
    <t>Epeautre</t>
  </si>
  <si>
    <t>Rafles de mais</t>
  </si>
  <si>
    <t>Drêches de distellerie de maïs</t>
  </si>
  <si>
    <t>CMV 7P/ 28Ca / 3mg</t>
  </si>
  <si>
    <t>CMV 0 P/ 27 Ca / 3 mg</t>
  </si>
  <si>
    <t>CMV 5,5 P/ 27 Ca / 3 mg</t>
  </si>
  <si>
    <t>Pulpe de betterave supressée</t>
  </si>
  <si>
    <t>Drèches de distillerie de blé, amidon &lt; 7% sur brut</t>
  </si>
  <si>
    <t>Luzerne 18-19% MAT</t>
  </si>
  <si>
    <t>Luzerne &lt;16% MAT</t>
  </si>
  <si>
    <t>Pulpe de p.de terre déshydratée</t>
  </si>
  <si>
    <t>Drêche de brasserie d'orge</t>
  </si>
  <si>
    <t>Foin moyen (0,5 à 0,6 UFL)</t>
  </si>
  <si>
    <t xml:space="preserve"> Paille + Foin : </t>
  </si>
  <si>
    <t>Prix en €/kg brute</t>
  </si>
  <si>
    <t>Mg</t>
  </si>
  <si>
    <t>Purée de pommes de terre</t>
  </si>
  <si>
    <t>Prix d'équivalence en €/T brute</t>
  </si>
  <si>
    <t>Coût prestation aplattisage + mélange</t>
  </si>
  <si>
    <t>Quelle est votre utilisation ?</t>
  </si>
  <si>
    <t>Mash Veaux</t>
  </si>
  <si>
    <t>VL 20</t>
  </si>
  <si>
    <t>VL26</t>
  </si>
  <si>
    <t>VL 15</t>
  </si>
  <si>
    <t xml:space="preserve">VL18 </t>
  </si>
  <si>
    <t>Quel est votre nouvel aliment ?</t>
  </si>
  <si>
    <t>Mon correcteur azotée</t>
  </si>
  <si>
    <t>Mon concentré de production</t>
  </si>
  <si>
    <t>Paille de blé</t>
  </si>
  <si>
    <t>Paille d'escourgeon</t>
  </si>
  <si>
    <t>Paille de Pois</t>
  </si>
  <si>
    <t>Mon Foin</t>
  </si>
  <si>
    <t>Aliments en kg/brute</t>
  </si>
  <si>
    <t>Oxyde de magnésium</t>
  </si>
  <si>
    <t>Mon co-produits</t>
  </si>
  <si>
    <r>
      <rPr>
        <b/>
        <i/>
        <u/>
        <sz val="18"/>
        <color theme="1"/>
        <rFont val="Calibri"/>
        <family val="2"/>
        <scheme val="minor"/>
      </rPr>
      <t>Notice</t>
    </r>
    <r>
      <rPr>
        <b/>
        <i/>
        <sz val="18"/>
        <color theme="1"/>
        <rFont val="Calibri"/>
        <family val="2"/>
        <scheme val="minor"/>
      </rPr>
      <t xml:space="preserve"> : Toutes les cases</t>
    </r>
  </si>
  <si>
    <t>Concentrés veaux + Paille ou Foin</t>
  </si>
  <si>
    <t>Concentré Veaux laitiers</t>
  </si>
  <si>
    <t>Amyplus</t>
  </si>
  <si>
    <t>Drêches de brasserie d'orge à 24 %</t>
  </si>
  <si>
    <t>Racines d'endives</t>
  </si>
  <si>
    <t>Mon aliment</t>
  </si>
  <si>
    <t>Prix d'achat en €/T</t>
  </si>
  <si>
    <t>Drêches de brasserie fraiches</t>
  </si>
  <si>
    <t>Pomme de terre entière</t>
  </si>
  <si>
    <t>sont à complèter</t>
  </si>
  <si>
    <t>Farine de Biscuit</t>
  </si>
  <si>
    <t>Soluble de pois</t>
  </si>
  <si>
    <t>P abs</t>
  </si>
  <si>
    <t>Ca abs</t>
  </si>
  <si>
    <t>Proficorn</t>
  </si>
  <si>
    <t>Drêches de mais de distellerie</t>
  </si>
  <si>
    <t>Corn gluten feed humide</t>
  </si>
  <si>
    <t>Moyenne</t>
  </si>
  <si>
    <t>j</t>
  </si>
  <si>
    <t xml:space="preserve">Les valeurs UFL, PDIA, PDIN,PDIE sont </t>
  </si>
  <si>
    <t xml:space="preserve"> </t>
  </si>
  <si>
    <t>sont exprimés en /kg brute</t>
  </si>
  <si>
    <t>Radicelle d'orge</t>
  </si>
  <si>
    <t>Pour tout renseignement supplémentaire, vous pouvez contacter Priez Clément : 03-23-22-50-13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</si>
</sst>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6"/>
      <color indexed="12"/>
      <name val="Arial"/>
      <family val="2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indexed="12"/>
      <name val="Arial"/>
      <family val="2"/>
    </font>
    <font>
      <i/>
      <sz val="16"/>
      <color indexed="12"/>
      <name val="Arial"/>
      <family val="2"/>
    </font>
    <font>
      <sz val="9"/>
      <color indexed="81"/>
      <name val="Tahoma"/>
      <family val="2"/>
    </font>
    <font>
      <b/>
      <sz val="11"/>
      <color indexed="81"/>
      <name val="Verdana"/>
      <family val="2"/>
    </font>
    <font>
      <b/>
      <sz val="12"/>
      <color indexed="81"/>
      <name val="Verdana"/>
      <family val="2"/>
    </font>
    <font>
      <sz val="12"/>
      <color indexed="81"/>
      <name val="Verdana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4" tint="-0.499984740745262"/>
      <name val="Verdan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11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2" fillId="7" borderId="0" xfId="0" applyFont="1" applyFill="1" applyBorder="1" applyAlignment="1">
      <alignment horizontal="center"/>
    </xf>
    <xf numFmtId="0" fontId="2" fillId="7" borderId="0" xfId="0" applyNumberFormat="1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1" fontId="2" fillId="7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/>
    <xf numFmtId="0" fontId="1" fillId="7" borderId="0" xfId="0" applyFont="1" applyFill="1" applyBorder="1" applyAlignment="1">
      <alignment horizontal="center" vertical="center"/>
    </xf>
    <xf numFmtId="2" fontId="1" fillId="7" borderId="0" xfId="0" applyNumberFormat="1" applyFont="1" applyFill="1" applyBorder="1" applyAlignment="1">
      <alignment horizontal="center" vertical="center"/>
    </xf>
    <xf numFmtId="0" fontId="0" fillId="7" borderId="0" xfId="0" applyFill="1" applyBorder="1"/>
    <xf numFmtId="2" fontId="2" fillId="7" borderId="0" xfId="0" applyNumberFormat="1" applyFont="1" applyFill="1" applyBorder="1" applyAlignment="1">
      <alignment horizontal="center" vertical="center"/>
    </xf>
    <xf numFmtId="0" fontId="0" fillId="7" borderId="0" xfId="0" applyFill="1"/>
    <xf numFmtId="3" fontId="10" fillId="11" borderId="5" xfId="1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64" fontId="2" fillId="7" borderId="9" xfId="0" applyNumberFormat="1" applyFont="1" applyFill="1" applyBorder="1" applyAlignment="1">
      <alignment horizontal="center"/>
    </xf>
    <xf numFmtId="0" fontId="0" fillId="0" borderId="0" xfId="0" applyBorder="1"/>
    <xf numFmtId="2" fontId="2" fillId="7" borderId="10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NumberFormat="1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2" fontId="5" fillId="6" borderId="1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center"/>
    </xf>
    <xf numFmtId="164" fontId="4" fillId="7" borderId="0" xfId="0" applyNumberFormat="1" applyFont="1" applyFill="1" applyBorder="1" applyAlignment="1"/>
    <xf numFmtId="0" fontId="0" fillId="0" borderId="9" xfId="0" applyBorder="1"/>
    <xf numFmtId="164" fontId="4" fillId="7" borderId="1" xfId="0" applyNumberFormat="1" applyFont="1" applyFill="1" applyBorder="1" applyAlignment="1">
      <alignment horizontal="center"/>
    </xf>
    <xf numFmtId="0" fontId="0" fillId="0" borderId="10" xfId="0" applyBorder="1"/>
    <xf numFmtId="164" fontId="5" fillId="7" borderId="9" xfId="0" applyNumberFormat="1" applyFont="1" applyFill="1" applyBorder="1" applyAlignment="1"/>
    <xf numFmtId="0" fontId="11" fillId="0" borderId="0" xfId="0" applyFont="1" applyBorder="1"/>
    <xf numFmtId="164" fontId="11" fillId="7" borderId="0" xfId="0" applyNumberFormat="1" applyFont="1" applyFill="1" applyBorder="1" applyAlignment="1">
      <alignment horizontal="center"/>
    </xf>
    <xf numFmtId="164" fontId="11" fillId="7" borderId="10" xfId="0" applyNumberFormat="1" applyFont="1" applyFill="1" applyBorder="1" applyAlignment="1">
      <alignment horizontal="center"/>
    </xf>
    <xf numFmtId="2" fontId="11" fillId="7" borderId="10" xfId="0" applyNumberFormat="1" applyFont="1" applyFill="1" applyBorder="1" applyAlignment="1">
      <alignment horizontal="center"/>
    </xf>
    <xf numFmtId="0" fontId="11" fillId="0" borderId="10" xfId="0" applyFont="1" applyBorder="1"/>
    <xf numFmtId="0" fontId="11" fillId="0" borderId="1" xfId="0" applyFont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0" fontId="13" fillId="0" borderId="9" xfId="0" applyFont="1" applyBorder="1"/>
    <xf numFmtId="164" fontId="5" fillId="7" borderId="9" xfId="0" applyNumberFormat="1" applyFont="1" applyFill="1" applyBorder="1" applyAlignment="1">
      <alignment horizontal="left"/>
    </xf>
    <xf numFmtId="164" fontId="4" fillId="7" borderId="25" xfId="0" applyNumberFormat="1" applyFont="1" applyFill="1" applyBorder="1" applyAlignment="1">
      <alignment horizontal="center"/>
    </xf>
    <xf numFmtId="164" fontId="2" fillId="7" borderId="26" xfId="0" applyNumberFormat="1" applyFont="1" applyFill="1" applyBorder="1" applyAlignment="1">
      <alignment horizontal="center"/>
    </xf>
    <xf numFmtId="164" fontId="4" fillId="7" borderId="18" xfId="0" applyNumberFormat="1" applyFont="1" applyFill="1" applyBorder="1" applyAlignment="1">
      <alignment horizontal="center"/>
    </xf>
    <xf numFmtId="164" fontId="2" fillId="7" borderId="18" xfId="0" applyNumberFormat="1" applyFont="1" applyFill="1" applyBorder="1" applyAlignment="1">
      <alignment horizontal="center"/>
    </xf>
    <xf numFmtId="164" fontId="4" fillId="7" borderId="19" xfId="0" applyNumberFormat="1" applyFont="1" applyFill="1" applyBorder="1" applyAlignment="1">
      <alignment horizontal="center"/>
    </xf>
    <xf numFmtId="0" fontId="4" fillId="7" borderId="0" xfId="0" applyFont="1" applyFill="1" applyBorder="1" applyAlignment="1">
      <alignment vertical="center"/>
    </xf>
    <xf numFmtId="0" fontId="12" fillId="5" borderId="29" xfId="0" applyFont="1" applyFill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/>
    </xf>
    <xf numFmtId="0" fontId="16" fillId="7" borderId="0" xfId="0" applyFont="1" applyFill="1"/>
    <xf numFmtId="0" fontId="8" fillId="7" borderId="0" xfId="0" applyFont="1" applyFill="1"/>
    <xf numFmtId="0" fontId="14" fillId="7" borderId="0" xfId="0" applyFont="1" applyFill="1" applyBorder="1"/>
    <xf numFmtId="0" fontId="15" fillId="7" borderId="0" xfId="0" applyFont="1" applyFill="1" applyBorder="1" applyAlignment="1">
      <alignment horizontal="center" vertical="center"/>
    </xf>
    <xf numFmtId="0" fontId="15" fillId="7" borderId="0" xfId="0" applyFont="1" applyFill="1" applyBorder="1"/>
    <xf numFmtId="2" fontId="15" fillId="7" borderId="0" xfId="0" applyNumberFormat="1" applyFont="1" applyFill="1" applyBorder="1" applyAlignment="1">
      <alignment horizontal="center" vertical="center"/>
    </xf>
    <xf numFmtId="165" fontId="15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/>
    <xf numFmtId="0" fontId="1" fillId="7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" fillId="7" borderId="0" xfId="0" applyFont="1" applyFill="1" applyBorder="1" applyAlignment="1">
      <alignment vertical="center"/>
    </xf>
    <xf numFmtId="0" fontId="0" fillId="7" borderId="0" xfId="0" applyFill="1" applyAlignment="1">
      <alignment horizontal="center" vertical="center"/>
    </xf>
    <xf numFmtId="164" fontId="6" fillId="9" borderId="6" xfId="0" applyNumberFormat="1" applyFont="1" applyFill="1" applyBorder="1" applyAlignment="1">
      <alignment horizontal="center"/>
    </xf>
    <xf numFmtId="164" fontId="6" fillId="9" borderId="7" xfId="0" applyNumberFormat="1" applyFont="1" applyFill="1" applyBorder="1" applyAlignment="1">
      <alignment horizontal="center"/>
    </xf>
    <xf numFmtId="2" fontId="6" fillId="9" borderId="8" xfId="0" applyNumberFormat="1" applyFont="1" applyFill="1" applyBorder="1" applyAlignment="1">
      <alignment horizontal="center"/>
    </xf>
    <xf numFmtId="3" fontId="10" fillId="11" borderId="12" xfId="1" applyNumberFormat="1" applyFont="1" applyFill="1" applyBorder="1" applyAlignment="1" applyProtection="1">
      <alignment vertical="center"/>
      <protection locked="0"/>
    </xf>
    <xf numFmtId="3" fontId="10" fillId="11" borderId="13" xfId="1" applyNumberFormat="1" applyFont="1" applyFill="1" applyBorder="1" applyAlignment="1" applyProtection="1">
      <alignment vertical="center"/>
      <protection locked="0"/>
    </xf>
    <xf numFmtId="0" fontId="17" fillId="0" borderId="1" xfId="0" applyFont="1" applyBorder="1" applyAlignment="1">
      <alignment horizontal="center" vertical="center"/>
    </xf>
    <xf numFmtId="0" fontId="17" fillId="6" borderId="1" xfId="0" applyFont="1" applyFill="1" applyBorder="1" applyAlignment="1">
      <alignment horizontal="center"/>
    </xf>
    <xf numFmtId="4" fontId="18" fillId="11" borderId="5" xfId="1" applyNumberFormat="1" applyFont="1" applyFill="1" applyBorder="1" applyAlignment="1" applyProtection="1">
      <alignment horizontal="center" vertical="center"/>
      <protection locked="0"/>
    </xf>
    <xf numFmtId="0" fontId="6" fillId="12" borderId="14" xfId="0" applyFont="1" applyFill="1" applyBorder="1" applyAlignment="1">
      <alignment horizontal="center"/>
    </xf>
    <xf numFmtId="3" fontId="18" fillId="11" borderId="17" xfId="1" applyNumberFormat="1" applyFont="1" applyFill="1" applyBorder="1" applyAlignment="1" applyProtection="1">
      <alignment horizontal="center" vertical="center"/>
      <protection locked="0"/>
    </xf>
    <xf numFmtId="0" fontId="12" fillId="5" borderId="15" xfId="0" applyFont="1" applyFill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10" fillId="11" borderId="1" xfId="1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>
      <alignment horizontal="center" vertical="center"/>
    </xf>
    <xf numFmtId="0" fontId="0" fillId="7" borderId="0" xfId="0" applyFont="1" applyFill="1"/>
    <xf numFmtId="3" fontId="18" fillId="11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5" borderId="2" xfId="0" applyFont="1" applyFill="1" applyBorder="1" applyAlignment="1">
      <alignment horizontal="center"/>
    </xf>
    <xf numFmtId="0" fontId="6" fillId="5" borderId="31" xfId="0" applyFont="1" applyFill="1" applyBorder="1" applyAlignment="1">
      <alignment horizontal="center" vertical="center"/>
    </xf>
    <xf numFmtId="0" fontId="8" fillId="7" borderId="0" xfId="0" applyFont="1" applyFill="1" applyBorder="1"/>
    <xf numFmtId="0" fontId="8" fillId="7" borderId="0" xfId="0" applyFont="1" applyFill="1" applyBorder="1" applyAlignment="1">
      <alignment horizontal="right"/>
    </xf>
    <xf numFmtId="0" fontId="8" fillId="7" borderId="0" xfId="0" applyFont="1" applyFill="1" applyBorder="1" applyAlignment="1">
      <alignment horizontal="center"/>
    </xf>
    <xf numFmtId="0" fontId="2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/>
    </xf>
    <xf numFmtId="0" fontId="0" fillId="0" borderId="0" xfId="0" applyFont="1"/>
    <xf numFmtId="164" fontId="24" fillId="7" borderId="0" xfId="0" applyNumberFormat="1" applyFont="1" applyFill="1" applyBorder="1" applyAlignment="1">
      <alignment horizontal="center"/>
    </xf>
    <xf numFmtId="3" fontId="10" fillId="11" borderId="34" xfId="1" applyNumberFormat="1" applyFont="1" applyFill="1" applyBorder="1" applyAlignment="1" applyProtection="1">
      <alignment horizontal="center" vertical="center"/>
      <protection locked="0"/>
    </xf>
    <xf numFmtId="3" fontId="10" fillId="11" borderId="23" xfId="1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center"/>
    </xf>
    <xf numFmtId="164" fontId="5" fillId="7" borderId="18" xfId="0" applyNumberFormat="1" applyFont="1" applyFill="1" applyBorder="1" applyAlignment="1">
      <alignment horizontal="center" vertical="center"/>
    </xf>
    <xf numFmtId="0" fontId="0" fillId="0" borderId="0" xfId="0" applyFill="1"/>
    <xf numFmtId="1" fontId="5" fillId="7" borderId="18" xfId="0" applyNumberFormat="1" applyFont="1" applyFill="1" applyBorder="1" applyAlignment="1">
      <alignment horizontal="center" vertical="center"/>
    </xf>
    <xf numFmtId="2" fontId="5" fillId="7" borderId="18" xfId="0" applyNumberFormat="1" applyFont="1" applyFill="1" applyBorder="1" applyAlignment="1">
      <alignment horizontal="center" vertical="center"/>
    </xf>
    <xf numFmtId="0" fontId="12" fillId="5" borderId="35" xfId="0" applyFont="1" applyFill="1" applyBorder="1" applyAlignment="1">
      <alignment horizontal="center" vertical="center"/>
    </xf>
    <xf numFmtId="0" fontId="12" fillId="5" borderId="36" xfId="0" applyFont="1" applyFill="1" applyBorder="1" applyAlignment="1">
      <alignment horizontal="center" vertical="center"/>
    </xf>
    <xf numFmtId="2" fontId="5" fillId="7" borderId="37" xfId="0" applyNumberFormat="1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1" fontId="5" fillId="7" borderId="27" xfId="0" applyNumberFormat="1" applyFont="1" applyFill="1" applyBorder="1" applyAlignment="1">
      <alignment horizontal="center" vertical="center"/>
    </xf>
    <xf numFmtId="4" fontId="10" fillId="11" borderId="1" xfId="1" applyNumberFormat="1" applyFont="1" applyFill="1" applyBorder="1" applyAlignment="1" applyProtection="1">
      <alignment horizontal="center" vertical="center"/>
      <protection locked="0"/>
    </xf>
    <xf numFmtId="0" fontId="3" fillId="13" borderId="11" xfId="0" applyFont="1" applyFill="1" applyBorder="1"/>
    <xf numFmtId="0" fontId="3" fillId="13" borderId="12" xfId="0" applyFont="1" applyFill="1" applyBorder="1"/>
    <xf numFmtId="0" fontId="1" fillId="13" borderId="13" xfId="0" applyFont="1" applyFill="1" applyBorder="1"/>
    <xf numFmtId="3" fontId="19" fillId="11" borderId="9" xfId="1" applyNumberFormat="1" applyFont="1" applyFill="1" applyBorder="1" applyAlignment="1" applyProtection="1">
      <alignment horizontal="center" vertical="center"/>
      <protection locked="0"/>
    </xf>
    <xf numFmtId="0" fontId="1" fillId="10" borderId="10" xfId="0" applyFont="1" applyFill="1" applyBorder="1"/>
    <xf numFmtId="0" fontId="3" fillId="13" borderId="0" xfId="0" applyFont="1" applyFill="1" applyBorder="1"/>
    <xf numFmtId="0" fontId="3" fillId="13" borderId="9" xfId="0" applyFont="1" applyFill="1" applyBorder="1"/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8" fillId="7" borderId="0" xfId="0" applyNumberFormat="1" applyFont="1" applyFill="1" applyBorder="1" applyAlignment="1">
      <alignment horizontal="center"/>
    </xf>
    <xf numFmtId="1" fontId="8" fillId="7" borderId="0" xfId="0" applyNumberFormat="1" applyFont="1" applyFill="1" applyBorder="1"/>
    <xf numFmtId="2" fontId="8" fillId="7" borderId="0" xfId="0" applyNumberFormat="1" applyFont="1" applyFill="1" applyBorder="1"/>
    <xf numFmtId="0" fontId="31" fillId="7" borderId="0" xfId="0" applyFont="1" applyFill="1" applyBorder="1" applyAlignment="1">
      <alignment horizontal="center" vertical="center"/>
    </xf>
    <xf numFmtId="0" fontId="24" fillId="7" borderId="0" xfId="0" applyFont="1" applyFill="1" applyBorder="1"/>
    <xf numFmtId="164" fontId="8" fillId="7" borderId="0" xfId="0" applyNumberFormat="1" applyFont="1" applyFill="1" applyBorder="1"/>
    <xf numFmtId="0" fontId="25" fillId="7" borderId="0" xfId="0" applyNumberFormat="1" applyFont="1" applyFill="1" applyBorder="1" applyAlignment="1">
      <alignment horizontal="center" vertical="center"/>
    </xf>
    <xf numFmtId="0" fontId="8" fillId="0" borderId="0" xfId="0" applyFont="1"/>
    <xf numFmtId="2" fontId="5" fillId="6" borderId="1" xfId="0" applyNumberFormat="1" applyFont="1" applyFill="1" applyBorder="1" applyAlignment="1">
      <alignment horizontal="center"/>
    </xf>
    <xf numFmtId="164" fontId="4" fillId="7" borderId="27" xfId="0" applyNumberFormat="1" applyFont="1" applyFill="1" applyBorder="1" applyAlignment="1">
      <alignment horizontal="center"/>
    </xf>
    <xf numFmtId="164" fontId="4" fillId="7" borderId="28" xfId="0" applyNumberFormat="1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 vertical="center" wrapText="1"/>
    </xf>
    <xf numFmtId="164" fontId="6" fillId="9" borderId="7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64" fontId="4" fillId="9" borderId="24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wrapText="1"/>
    </xf>
    <xf numFmtId="3" fontId="10" fillId="11" borderId="22" xfId="1" applyNumberFormat="1" applyFont="1" applyFill="1" applyBorder="1" applyAlignment="1" applyProtection="1">
      <alignment horizontal="center" vertical="center"/>
      <protection locked="0"/>
    </xf>
    <xf numFmtId="3" fontId="10" fillId="11" borderId="23" xfId="1" applyNumberFormat="1" applyFont="1" applyFill="1" applyBorder="1" applyAlignment="1" applyProtection="1">
      <alignment horizontal="center" vertical="center"/>
      <protection locked="0"/>
    </xf>
    <xf numFmtId="0" fontId="26" fillId="2" borderId="31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164" fontId="4" fillId="7" borderId="32" xfId="0" applyNumberFormat="1" applyFont="1" applyFill="1" applyBorder="1" applyAlignment="1">
      <alignment horizontal="center"/>
    </xf>
    <xf numFmtId="164" fontId="4" fillId="7" borderId="33" xfId="0" applyNumberFormat="1" applyFont="1" applyFill="1" applyBorder="1" applyAlignment="1">
      <alignment horizontal="center"/>
    </xf>
    <xf numFmtId="164" fontId="4" fillId="7" borderId="23" xfId="0" applyNumberFormat="1" applyFont="1" applyFill="1" applyBorder="1" applyAlignment="1">
      <alignment horizontal="center"/>
    </xf>
    <xf numFmtId="3" fontId="10" fillId="11" borderId="31" xfId="1" applyNumberFormat="1" applyFont="1" applyFill="1" applyBorder="1" applyAlignment="1" applyProtection="1">
      <alignment horizontal="center" vertical="center"/>
      <protection locked="0"/>
    </xf>
    <xf numFmtId="3" fontId="10" fillId="11" borderId="21" xfId="1" applyNumberFormat="1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0" fontId="12" fillId="10" borderId="6" xfId="0" applyFont="1" applyFill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2" fillId="10" borderId="9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4" fontId="4" fillId="9" borderId="25" xfId="0" applyNumberFormat="1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/>
    </xf>
    <xf numFmtId="1" fontId="6" fillId="4" borderId="10" xfId="0" applyNumberFormat="1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3" fontId="18" fillId="11" borderId="22" xfId="1" applyNumberFormat="1" applyFont="1" applyFill="1" applyBorder="1" applyAlignment="1" applyProtection="1">
      <alignment horizontal="center" vertical="center"/>
      <protection locked="0"/>
    </xf>
    <xf numFmtId="3" fontId="18" fillId="11" borderId="33" xfId="1" applyNumberFormat="1" applyFont="1" applyFill="1" applyBorder="1" applyAlignment="1" applyProtection="1">
      <alignment horizontal="center" vertical="center"/>
      <protection locked="0"/>
    </xf>
    <xf numFmtId="3" fontId="18" fillId="11" borderId="23" xfId="1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trlProps/ctrlProp1.xml><?xml version="1.0" encoding="utf-8"?>
<formControlPr xmlns="http://schemas.microsoft.com/office/spreadsheetml/2009/9/main" objectType="Scroll" dx="16" fmlaLink="$B$19" horiz="1" max="100" min="1" page="10" val="75"/>
</file>

<file path=xl/ctrlProps/ctrlProp2.xml><?xml version="1.0" encoding="utf-8"?>
<formControlPr xmlns="http://schemas.microsoft.com/office/spreadsheetml/2009/9/main" objectType="Scroll" dx="16" fmlaLink="$B$21" horiz="1" max="100" page="10" val="2"/>
</file>

<file path=xl/ctrlProps/ctrlProp3.xml><?xml version="1.0" encoding="utf-8"?>
<formControlPr xmlns="http://schemas.microsoft.com/office/spreadsheetml/2009/9/main" objectType="Scroll" dx="16" fmlaLink="$B$22" horiz="1" max="100" page="10" val="0"/>
</file>

<file path=xl/ctrlProps/ctrlProp4.xml><?xml version="1.0" encoding="utf-8"?>
<formControlPr xmlns="http://schemas.microsoft.com/office/spreadsheetml/2009/9/main" objectType="Scroll" dx="16" fmlaLink="$B$26" horiz="1" max="100" page="10" val="100"/>
</file>

<file path=xl/ctrlProps/ctrlProp5.xml><?xml version="1.0" encoding="utf-8"?>
<formControlPr xmlns="http://schemas.microsoft.com/office/spreadsheetml/2009/9/main" objectType="Scroll" dx="16" fmlaLink="$B$20" horiz="1" max="100" page="10" val="23"/>
</file>

<file path=xl/ctrlProps/ctrlProp6.xml><?xml version="1.0" encoding="utf-8"?>
<formControlPr xmlns="http://schemas.microsoft.com/office/spreadsheetml/2009/9/main" objectType="Scroll" dx="16" fmlaLink="$B$23" horiz="1" max="100" page="10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18</xdr:row>
          <xdr:rowOff>7620</xdr:rowOff>
        </xdr:from>
        <xdr:to>
          <xdr:col>1</xdr:col>
          <xdr:colOff>632460</xdr:colOff>
          <xdr:row>18</xdr:row>
          <xdr:rowOff>243840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4998720</xdr:colOff>
          <xdr:row>20</xdr:row>
          <xdr:rowOff>15240</xdr:rowOff>
        </xdr:from>
        <xdr:to>
          <xdr:col>1</xdr:col>
          <xdr:colOff>609600</xdr:colOff>
          <xdr:row>20</xdr:row>
          <xdr:rowOff>251460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21</xdr:row>
          <xdr:rowOff>30480</xdr:rowOff>
        </xdr:from>
        <xdr:to>
          <xdr:col>1</xdr:col>
          <xdr:colOff>632460</xdr:colOff>
          <xdr:row>21</xdr:row>
          <xdr:rowOff>251460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</xdr:row>
      <xdr:rowOff>12232</xdr:rowOff>
    </xdr:from>
    <xdr:to>
      <xdr:col>12</xdr:col>
      <xdr:colOff>133911</xdr:colOff>
      <xdr:row>7</xdr:row>
      <xdr:rowOff>101600</xdr:rowOff>
    </xdr:to>
    <xdr:pic>
      <xdr:nvPicPr>
        <xdr:cNvPr id="11" name="Object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7700" y="558332"/>
          <a:ext cx="2204011" cy="22102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595364</xdr:colOff>
      <xdr:row>1</xdr:row>
      <xdr:rowOff>128468</xdr:rowOff>
    </xdr:from>
    <xdr:to>
      <xdr:col>5</xdr:col>
      <xdr:colOff>457200</xdr:colOff>
      <xdr:row>7</xdr:row>
      <xdr:rowOff>88899</xdr:rowOff>
    </xdr:to>
    <xdr:pic>
      <xdr:nvPicPr>
        <xdr:cNvPr id="12" name="Image 11" descr="vignette-focus-medi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5364" y="674568"/>
          <a:ext cx="2757436" cy="2081331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  <a:extLst/>
      </xdr:spPr>
    </xdr:pic>
    <xdr:clientData/>
  </xdr:twoCellAnchor>
  <xdr:twoCellAnchor editAs="oneCell">
    <xdr:from>
      <xdr:col>0</xdr:col>
      <xdr:colOff>2921000</xdr:colOff>
      <xdr:row>28</xdr:row>
      <xdr:rowOff>107582</xdr:rowOff>
    </xdr:from>
    <xdr:to>
      <xdr:col>1</xdr:col>
      <xdr:colOff>713538</xdr:colOff>
      <xdr:row>35</xdr:row>
      <xdr:rowOff>132079</xdr:rowOff>
    </xdr:to>
    <xdr:pic>
      <xdr:nvPicPr>
        <xdr:cNvPr id="13" name="Image 12" descr="vignette-focus-media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1000" y="8514982"/>
          <a:ext cx="2796338" cy="1853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30480</xdr:rowOff>
        </xdr:from>
        <xdr:to>
          <xdr:col>1</xdr:col>
          <xdr:colOff>632460</xdr:colOff>
          <xdr:row>24</xdr:row>
          <xdr:rowOff>251460</xdr:rowOff>
        </xdr:to>
        <xdr:sp macro="" textlink="">
          <xdr:nvSpPr>
            <xdr:cNvPr id="1046" name="Scroll Bar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23</xdr:row>
          <xdr:rowOff>15240</xdr:rowOff>
        </xdr:from>
        <xdr:to>
          <xdr:col>1</xdr:col>
          <xdr:colOff>670560</xdr:colOff>
          <xdr:row>23</xdr:row>
          <xdr:rowOff>266700</xdr:rowOff>
        </xdr:to>
        <xdr:sp macro="" textlink="">
          <xdr:nvSpPr>
            <xdr:cNvPr id="1047" name="SpinButton1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19</xdr:row>
          <xdr:rowOff>7620</xdr:rowOff>
        </xdr:from>
        <xdr:to>
          <xdr:col>1</xdr:col>
          <xdr:colOff>632460</xdr:colOff>
          <xdr:row>19</xdr:row>
          <xdr:rowOff>243840</xdr:rowOff>
        </xdr:to>
        <xdr:sp macro="" textlink="">
          <xdr:nvSpPr>
            <xdr:cNvPr id="1070" name="Scroll Bar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22</xdr:row>
          <xdr:rowOff>7620</xdr:rowOff>
        </xdr:from>
        <xdr:to>
          <xdr:col>1</xdr:col>
          <xdr:colOff>632460</xdr:colOff>
          <xdr:row>22</xdr:row>
          <xdr:rowOff>243840</xdr:rowOff>
        </xdr:to>
        <xdr:sp macro="" textlink="">
          <xdr:nvSpPr>
            <xdr:cNvPr id="1071" name="Scroll Bar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0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5"/>
    <pageSetUpPr fitToPage="1"/>
  </sheetPr>
  <dimension ref="A1:AH160"/>
  <sheetViews>
    <sheetView tabSelected="1" showWhiteSpace="0" zoomScale="60" zoomScaleNormal="60" zoomScalePageLayoutView="60" workbookViewId="0">
      <selection activeCell="C58" sqref="C58"/>
    </sheetView>
  </sheetViews>
  <sheetFormatPr baseColWidth="10" defaultRowHeight="14.4" x14ac:dyDescent="0.3"/>
  <cols>
    <col min="1" max="1" width="73" customWidth="1"/>
    <col min="2" max="2" width="38.21875" customWidth="1"/>
    <col min="4" max="4" width="19.33203125" customWidth="1"/>
    <col min="6" max="6" width="14.109375" customWidth="1"/>
    <col min="7" max="7" width="22" customWidth="1"/>
    <col min="8" max="8" width="13.77734375" customWidth="1"/>
    <col min="9" max="9" width="13.77734375" bestFit="1" customWidth="1"/>
    <col min="10" max="10" width="14.88671875" customWidth="1"/>
    <col min="11" max="11" width="15.33203125" customWidth="1"/>
    <col min="12" max="12" width="14.88671875" customWidth="1"/>
    <col min="13" max="13" width="15.77734375" customWidth="1"/>
    <col min="15" max="15" width="12.33203125" customWidth="1"/>
    <col min="16" max="16" width="16.44140625" customWidth="1"/>
    <col min="17" max="17" width="19.44140625" customWidth="1"/>
    <col min="20" max="20" width="11.5546875" customWidth="1"/>
  </cols>
  <sheetData>
    <row r="1" spans="1:21" ht="42.6" customHeight="1" thickBot="1" x14ac:dyDescent="0.35">
      <c r="A1" s="135" t="s">
        <v>56</v>
      </c>
      <c r="B1" s="136"/>
      <c r="D1" s="12"/>
      <c r="E1" s="12"/>
      <c r="F1" s="12"/>
      <c r="G1" s="12"/>
      <c r="H1" s="12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1" s="14" customFormat="1" ht="18" x14ac:dyDescent="0.35">
      <c r="A2" s="17"/>
      <c r="B2" s="18"/>
      <c r="G2" s="83"/>
      <c r="H2" s="83"/>
      <c r="I2" s="83"/>
      <c r="J2" s="83"/>
      <c r="K2" s="83"/>
      <c r="L2" s="83"/>
      <c r="M2" s="83"/>
      <c r="N2" s="83"/>
    </row>
    <row r="3" spans="1:21" s="14" customFormat="1" ht="49.2" x14ac:dyDescent="0.4">
      <c r="A3" s="82" t="s">
        <v>52</v>
      </c>
      <c r="B3" s="84" t="s">
        <v>15</v>
      </c>
      <c r="G3" s="83"/>
      <c r="H3" s="83"/>
      <c r="J3" s="53" t="s">
        <v>2</v>
      </c>
      <c r="K3" s="54">
        <f>C13</f>
        <v>0.93</v>
      </c>
      <c r="L3" s="83"/>
      <c r="M3" s="83" t="s">
        <v>153</v>
      </c>
      <c r="N3" s="83"/>
    </row>
    <row r="4" spans="1:21" ht="26.4" thickBot="1" x14ac:dyDescent="0.55000000000000004">
      <c r="A4" s="72" t="s">
        <v>54</v>
      </c>
      <c r="B4" s="73">
        <f>VLOOKUP(B3,A46:C134,3,FALSE)</f>
        <v>0.89</v>
      </c>
      <c r="C4" s="63"/>
      <c r="D4" s="14"/>
      <c r="E4" s="14"/>
      <c r="F4" s="14"/>
      <c r="G4" s="83"/>
      <c r="H4" s="83"/>
      <c r="I4" s="83"/>
      <c r="J4" s="57" t="s">
        <v>49</v>
      </c>
      <c r="K4" s="58">
        <f>E13</f>
        <v>127</v>
      </c>
      <c r="L4" s="83"/>
      <c r="M4" s="83"/>
      <c r="N4" s="83" t="s">
        <v>155</v>
      </c>
      <c r="O4" s="14"/>
      <c r="P4" s="14"/>
      <c r="Q4" s="14"/>
      <c r="R4" s="14"/>
      <c r="S4" s="14"/>
      <c r="T4" s="14"/>
    </row>
    <row r="5" spans="1:21" ht="22.8" customHeight="1" x14ac:dyDescent="0.5">
      <c r="A5" s="72" t="s">
        <v>55</v>
      </c>
      <c r="B5" s="73">
        <f>VLOOKUP(B3,A46:G134,6,FALSE)</f>
        <v>59</v>
      </c>
      <c r="C5" s="8"/>
      <c r="F5" s="9"/>
      <c r="G5" s="157" t="s">
        <v>116</v>
      </c>
      <c r="H5" s="158"/>
      <c r="I5" s="163">
        <f>((K3*K7)+(K4*K8))*1000</f>
        <v>184.70415858651151</v>
      </c>
      <c r="J5" s="59"/>
      <c r="K5" s="59"/>
      <c r="L5" s="83"/>
      <c r="M5" s="62"/>
      <c r="N5" s="62"/>
      <c r="O5" s="144" t="s">
        <v>134</v>
      </c>
      <c r="P5" s="145"/>
      <c r="Q5" s="146"/>
      <c r="R5" s="14"/>
      <c r="S5" s="14"/>
      <c r="T5" s="14"/>
    </row>
    <row r="6" spans="1:21" ht="25.2" customHeight="1" x14ac:dyDescent="0.4">
      <c r="A6" s="72" t="s">
        <v>113</v>
      </c>
      <c r="B6" s="74">
        <v>0.14000000000000001</v>
      </c>
      <c r="C6" s="64"/>
      <c r="D6" s="14"/>
      <c r="E6" s="14"/>
      <c r="F6" s="62"/>
      <c r="G6" s="159"/>
      <c r="H6" s="160"/>
      <c r="I6" s="164"/>
      <c r="J6" s="59"/>
      <c r="K6" s="59"/>
      <c r="L6" s="83"/>
      <c r="M6" s="62"/>
      <c r="N6" s="62"/>
      <c r="O6" s="147"/>
      <c r="P6" s="148"/>
      <c r="Q6" s="149"/>
      <c r="R6" s="14"/>
      <c r="S6" s="14"/>
      <c r="T6" s="14"/>
    </row>
    <row r="7" spans="1:21" ht="26.4" thickBot="1" x14ac:dyDescent="0.5">
      <c r="A7" s="82" t="s">
        <v>53</v>
      </c>
      <c r="B7" s="84" t="s">
        <v>19</v>
      </c>
      <c r="C7" s="64"/>
      <c r="D7" s="14"/>
      <c r="E7" s="14"/>
      <c r="F7" s="62"/>
      <c r="G7" s="161"/>
      <c r="H7" s="162"/>
      <c r="I7" s="165"/>
      <c r="J7" s="57" t="s">
        <v>0</v>
      </c>
      <c r="K7" s="60">
        <f>(((B9*B6)-(B5*B10))/((B4*B9)-(B8*B5)))</f>
        <v>0.11833656539538893</v>
      </c>
      <c r="L7" s="83"/>
      <c r="M7" s="62"/>
      <c r="N7" s="62"/>
      <c r="O7" s="110"/>
      <c r="P7" s="142" t="s">
        <v>144</v>
      </c>
      <c r="Q7" s="143"/>
      <c r="R7" s="14"/>
      <c r="S7" s="14"/>
      <c r="T7" s="14"/>
    </row>
    <row r="8" spans="1:21" ht="25.8" x14ac:dyDescent="0.5">
      <c r="A8" s="72" t="s">
        <v>54</v>
      </c>
      <c r="B8" s="73">
        <f>VLOOKUP(B7,A46:C134,3,FALSE)</f>
        <v>1.06</v>
      </c>
      <c r="C8" s="64"/>
      <c r="D8" s="14"/>
      <c r="E8" s="14"/>
      <c r="F8" s="62"/>
      <c r="G8" s="83"/>
      <c r="H8" s="83"/>
      <c r="I8" s="62"/>
      <c r="J8" s="57" t="s">
        <v>1</v>
      </c>
      <c r="K8" s="61">
        <f>(((B4*B10)-(B8*B6))/((B4*B9)-(B8*B5)))</f>
        <v>5.8780435251023469E-4</v>
      </c>
      <c r="L8" s="83"/>
      <c r="M8" s="62"/>
      <c r="N8" s="62"/>
      <c r="O8" s="113" t="s">
        <v>154</v>
      </c>
      <c r="P8" s="112"/>
      <c r="Q8" s="111"/>
      <c r="R8" s="14"/>
      <c r="S8" s="14"/>
      <c r="T8" s="14"/>
    </row>
    <row r="9" spans="1:21" ht="26.4" thickBot="1" x14ac:dyDescent="0.55000000000000004">
      <c r="A9" s="72" t="s">
        <v>55</v>
      </c>
      <c r="B9" s="73">
        <f>VLOOKUP(B7,A46:G134,6,FALSE)</f>
        <v>331</v>
      </c>
      <c r="C9" s="64"/>
      <c r="D9" s="14"/>
      <c r="E9" s="14"/>
      <c r="F9" s="62"/>
      <c r="G9" s="83"/>
      <c r="H9" s="83"/>
      <c r="I9" s="62"/>
      <c r="J9" s="56"/>
      <c r="K9" s="56"/>
      <c r="L9" s="62"/>
      <c r="M9" s="62"/>
      <c r="N9" s="62"/>
      <c r="O9" s="107" t="s">
        <v>156</v>
      </c>
      <c r="P9" s="108"/>
      <c r="Q9" s="109"/>
      <c r="R9" s="14"/>
      <c r="S9" s="14"/>
      <c r="T9" s="14"/>
    </row>
    <row r="10" spans="1:21" ht="25.8" x14ac:dyDescent="0.35">
      <c r="A10" s="72" t="s">
        <v>113</v>
      </c>
      <c r="B10" s="74">
        <v>0.32</v>
      </c>
      <c r="C10" s="64"/>
      <c r="D10" s="14"/>
      <c r="E10" s="14"/>
      <c r="F10" s="62"/>
      <c r="G10" s="62"/>
      <c r="H10" s="62"/>
      <c r="I10" s="62"/>
      <c r="J10" s="56"/>
      <c r="K10" s="56"/>
      <c r="L10" s="62"/>
      <c r="M10" s="62"/>
      <c r="N10" s="62"/>
      <c r="O10" s="62"/>
      <c r="P10" s="62"/>
      <c r="Q10" s="14"/>
      <c r="R10" s="14"/>
      <c r="S10" s="14"/>
      <c r="T10" s="14"/>
    </row>
    <row r="11" spans="1:21" ht="18.600000000000001" thickBot="1" x14ac:dyDescent="0.4">
      <c r="C11" s="62"/>
      <c r="D11" s="62"/>
      <c r="E11" s="62"/>
      <c r="F11" s="62"/>
      <c r="G11" s="55"/>
      <c r="H11" s="55"/>
      <c r="I11" s="55"/>
      <c r="J11" s="56"/>
      <c r="K11" s="56"/>
      <c r="L11" s="62"/>
      <c r="M11" s="62"/>
      <c r="N11" s="62"/>
      <c r="O11" s="62"/>
      <c r="P11" s="62"/>
      <c r="Q11" s="14"/>
      <c r="R11" s="14"/>
      <c r="S11" s="14"/>
      <c r="T11" s="14"/>
    </row>
    <row r="12" spans="1:21" ht="38.4" customHeight="1" thickBot="1" x14ac:dyDescent="0.55000000000000004">
      <c r="A12" s="75" t="s">
        <v>124</v>
      </c>
      <c r="B12" s="77" t="s">
        <v>9</v>
      </c>
      <c r="C12" s="77" t="s">
        <v>4</v>
      </c>
      <c r="D12" s="77" t="s">
        <v>21</v>
      </c>
      <c r="E12" s="77" t="s">
        <v>5</v>
      </c>
      <c r="F12" s="77" t="s">
        <v>6</v>
      </c>
      <c r="G12" s="77" t="s">
        <v>22</v>
      </c>
      <c r="H12" s="77" t="s">
        <v>23</v>
      </c>
      <c r="I12" s="77" t="s">
        <v>8</v>
      </c>
      <c r="J12" s="101" t="s">
        <v>24</v>
      </c>
      <c r="K12" s="104" t="s">
        <v>114</v>
      </c>
      <c r="L12" s="102" t="s">
        <v>7</v>
      </c>
      <c r="M12" s="77" t="s">
        <v>25</v>
      </c>
      <c r="N12" s="77" t="s">
        <v>26</v>
      </c>
      <c r="O12" s="77" t="s">
        <v>42</v>
      </c>
      <c r="P12" s="78" t="s">
        <v>43</v>
      </c>
      <c r="Q12" s="78" t="s">
        <v>92</v>
      </c>
      <c r="R12" s="170" t="s">
        <v>141</v>
      </c>
      <c r="S12" s="171"/>
      <c r="T12" s="172"/>
    </row>
    <row r="13" spans="1:21" ht="27" customHeight="1" thickBot="1" x14ac:dyDescent="0.35">
      <c r="A13" s="76" t="s">
        <v>14</v>
      </c>
      <c r="B13" s="79">
        <f>VLOOKUP($A$13,$A$41:$Q$135,2,FALSE)</f>
        <v>88</v>
      </c>
      <c r="C13" s="100">
        <f>VLOOKUP($A$13,$A$41:$Q$135,3,FALSE)</f>
        <v>0.93</v>
      </c>
      <c r="D13" s="100">
        <f>VLOOKUP($A$13,$A$41:$Q$135,4,FALSE)</f>
        <v>0.91</v>
      </c>
      <c r="E13" s="99">
        <f>VLOOKUP($A$13,$A$41:$Q$135,6,FALSE)</f>
        <v>127</v>
      </c>
      <c r="F13" s="99">
        <f>VLOOKUP($A$13,$A$41:$Q$135,7,FALSE)</f>
        <v>102</v>
      </c>
      <c r="G13" s="99">
        <f>VLOOKUP($A$13,$A$41:$Q$135,8,FALSE)</f>
        <v>219</v>
      </c>
      <c r="H13" s="100">
        <f>VLOOKUP($A$13,$A$41:$Q$135,9,FALSE)</f>
        <v>85</v>
      </c>
      <c r="I13" s="100">
        <f>VLOOKUP($A$13,$A$41:$Q$135,10,FALSE)</f>
        <v>6.8</v>
      </c>
      <c r="J13" s="100">
        <f>VLOOKUP($A$13,$A$41:$Q$135,11,FALSE)</f>
        <v>1.8</v>
      </c>
      <c r="K13" s="103">
        <f>VLOOKUP($A$13,$A$41:$Q$135,17,FALSE)</f>
        <v>3.9</v>
      </c>
      <c r="L13" s="100">
        <f>VLOOKUP($A$13,$A$41:$Q$135,5,FALSE)</f>
        <v>49</v>
      </c>
      <c r="M13" s="100">
        <f>VLOOKUP($A$13,$A$41:$Q$135,12,FALSE)</f>
        <v>6.3</v>
      </c>
      <c r="N13" s="100">
        <f>VLOOKUP($A$13,$A$41:$Q$135,13,FALSE)</f>
        <v>2</v>
      </c>
      <c r="O13" s="97">
        <f>VLOOKUP($A$13,$A$41:$Q$135,14,FALSE)</f>
        <v>205</v>
      </c>
      <c r="P13" s="99">
        <f>VLOOKUP($A$13,$A$41:$Q$135,15,FALSE)</f>
        <v>384</v>
      </c>
      <c r="Q13" s="105">
        <f>VLOOKUP($A$13,$A$41:$Q$135,16,FALSE)</f>
        <v>3.1</v>
      </c>
      <c r="R13" s="173">
        <v>190</v>
      </c>
      <c r="S13" s="174"/>
      <c r="T13" s="175"/>
      <c r="U13" s="1"/>
    </row>
    <row r="14" spans="1:21" ht="16.2" customHeight="1" thickBot="1" x14ac:dyDescent="0.35">
      <c r="A14" s="16"/>
      <c r="B14" s="13"/>
      <c r="C14" s="10"/>
      <c r="D14" s="11"/>
      <c r="E14" s="10"/>
      <c r="F14" s="10"/>
      <c r="G14" s="10"/>
      <c r="H14" s="10"/>
      <c r="I14" s="10"/>
      <c r="J14" s="10"/>
      <c r="K14" s="10"/>
      <c r="L14" s="65"/>
      <c r="M14" s="65"/>
      <c r="N14" s="65"/>
      <c r="O14" s="65"/>
      <c r="P14" s="65"/>
      <c r="Q14" s="46"/>
      <c r="R14" s="14"/>
      <c r="S14" s="14"/>
      <c r="T14" s="66"/>
      <c r="U14" s="1"/>
    </row>
    <row r="15" spans="1:21" ht="16.2" customHeight="1" x14ac:dyDescent="0.3">
      <c r="A15" s="166" t="s">
        <v>69</v>
      </c>
      <c r="B15" s="167"/>
      <c r="C15" s="10"/>
      <c r="D15" s="114"/>
      <c r="E15" s="115"/>
      <c r="F15" s="115"/>
      <c r="G15" s="115"/>
      <c r="H15" s="115"/>
      <c r="I15" s="115"/>
      <c r="J15" s="115"/>
      <c r="K15" s="115"/>
      <c r="L15" s="98"/>
      <c r="M15" s="98"/>
      <c r="N15" s="150" t="s">
        <v>117</v>
      </c>
      <c r="O15" s="151"/>
      <c r="P15" s="151"/>
      <c r="Q15" s="151"/>
      <c r="R15" s="151"/>
      <c r="S15" s="151" t="s">
        <v>51</v>
      </c>
      <c r="T15" s="176"/>
      <c r="U15" s="1"/>
    </row>
    <row r="16" spans="1:21" ht="25.8" customHeight="1" thickBot="1" x14ac:dyDescent="0.35">
      <c r="A16" s="168"/>
      <c r="B16" s="169"/>
      <c r="C16" s="10"/>
      <c r="D16" s="11"/>
      <c r="E16" s="10"/>
      <c r="F16" s="10"/>
      <c r="G16" s="10"/>
      <c r="H16" s="10"/>
      <c r="I16" s="10"/>
      <c r="J16" s="10"/>
      <c r="K16" s="10"/>
      <c r="L16" s="14"/>
      <c r="M16" s="14"/>
      <c r="N16" s="152"/>
      <c r="O16" s="153"/>
      <c r="P16" s="153"/>
      <c r="Q16" s="153"/>
      <c r="R16" s="153"/>
      <c r="S16" s="153"/>
      <c r="T16" s="177"/>
      <c r="U16" s="1"/>
    </row>
    <row r="17" spans="1:34" ht="25.8" customHeight="1" thickBot="1" x14ac:dyDescent="0.35">
      <c r="A17" s="86" t="s">
        <v>118</v>
      </c>
      <c r="B17" s="140" t="s">
        <v>135</v>
      </c>
      <c r="C17" s="141"/>
      <c r="D17" s="11"/>
      <c r="E17" s="10"/>
      <c r="F17" s="10"/>
      <c r="G17" s="10"/>
      <c r="H17" s="10"/>
      <c r="I17" s="10"/>
      <c r="J17" s="10"/>
      <c r="K17" s="10"/>
      <c r="L17" s="14"/>
      <c r="M17" s="14"/>
      <c r="N17" s="154"/>
      <c r="O17" s="155"/>
      <c r="P17" s="155"/>
      <c r="Q17" s="155"/>
      <c r="R17" s="155"/>
      <c r="S17" s="70"/>
      <c r="T17" s="71"/>
      <c r="U17" s="1"/>
    </row>
    <row r="18" spans="1:34" ht="25.2" customHeight="1" x14ac:dyDescent="0.5">
      <c r="A18" s="85" t="s">
        <v>50</v>
      </c>
      <c r="B18" s="38" t="s">
        <v>3</v>
      </c>
      <c r="C18" s="38" t="s">
        <v>9</v>
      </c>
      <c r="D18" s="49" t="s">
        <v>4</v>
      </c>
      <c r="E18" s="49" t="s">
        <v>21</v>
      </c>
      <c r="F18" s="49" t="s">
        <v>5</v>
      </c>
      <c r="G18" s="49" t="s">
        <v>6</v>
      </c>
      <c r="H18" s="49" t="s">
        <v>22</v>
      </c>
      <c r="I18" s="49" t="s">
        <v>23</v>
      </c>
      <c r="J18" s="49" t="s">
        <v>147</v>
      </c>
      <c r="K18" s="49" t="s">
        <v>148</v>
      </c>
      <c r="L18" s="49" t="s">
        <v>114</v>
      </c>
      <c r="M18" s="49" t="s">
        <v>7</v>
      </c>
      <c r="N18" s="38" t="s">
        <v>25</v>
      </c>
      <c r="O18" s="38" t="s">
        <v>26</v>
      </c>
      <c r="P18" s="38" t="s">
        <v>42</v>
      </c>
      <c r="Q18" s="38" t="s">
        <v>43</v>
      </c>
      <c r="R18" s="47" t="s">
        <v>92</v>
      </c>
      <c r="S18" s="178" t="s">
        <v>93</v>
      </c>
      <c r="T18" s="179"/>
      <c r="U18" s="1"/>
      <c r="AH18" t="s">
        <v>48</v>
      </c>
    </row>
    <row r="19" spans="1:34" ht="23.4" x14ac:dyDescent="0.45">
      <c r="A19" s="15" t="s">
        <v>27</v>
      </c>
      <c r="B19" s="15">
        <v>75</v>
      </c>
      <c r="C19" s="37">
        <f t="shared" ref="C19:C25" si="0">IF(B19=0,0,VLOOKUP(A19,$A$40:$P$135,2,FALSE))</f>
        <v>86.9</v>
      </c>
      <c r="D19" s="37">
        <f t="shared" ref="D19:D25" si="1">IF(B19=0,0,VLOOKUP(A19,$A$40:$P$135,3,FALSE))</f>
        <v>0.95</v>
      </c>
      <c r="E19" s="48">
        <f t="shared" ref="E19:E25" si="2">IF(B19=0,0,VLOOKUP(A19,$A$40:$P$135,4,FALSE))</f>
        <v>0.93</v>
      </c>
      <c r="F19" s="37">
        <f t="shared" ref="F19:F25" si="3">IF(B19=0,0,VLOOKUP(A19,$A$40:$P$135,6,FALSE))</f>
        <v>69</v>
      </c>
      <c r="G19" s="37">
        <f t="shared" ref="G19:G25" si="4">IF(B19=0,0,VLOOKUP(A19,$A$40:$P$135,7,FALSE))</f>
        <v>87</v>
      </c>
      <c r="H19" s="37">
        <f t="shared" ref="H19:H25" si="5">IF(B19=0,0,VLOOKUP(A19,$A$40:$P$135,8,FALSE))</f>
        <v>116</v>
      </c>
      <c r="I19" s="37">
        <f t="shared" ref="I19:I25" si="6">IF(B19=0,0,VLOOKUP(A19,$A$40:$P$135,9,FALSE))</f>
        <v>50</v>
      </c>
      <c r="J19" s="37">
        <f t="shared" ref="J19:J25" si="7">IF(B19=0,0,VLOOKUP(A19,$A$40:$P$135,10,FALSE))</f>
        <v>3</v>
      </c>
      <c r="K19" s="37">
        <f t="shared" ref="K19:K25" si="8">IF(B19=0,0,VLOOKUP(A19,$A$40:$P$135,11,FALSE))</f>
        <v>0.7</v>
      </c>
      <c r="L19" s="37">
        <f t="shared" ref="L19:L25" si="9">IF(B19=0,0,VLOOKUP(A19,$A$41:$R$135,17,FALSE))</f>
        <v>1.3</v>
      </c>
      <c r="M19" s="37">
        <f t="shared" ref="M19:M25" si="10">IF(B19=0,0,VLOOKUP(A19,$A$40:$P$135,5,FALSE))</f>
        <v>30</v>
      </c>
      <c r="N19" s="37">
        <f t="shared" ref="N19:N25" si="11">IF(B19=0,0,VLOOKUP(A19,$A$40:$P$135,12,FALSE))</f>
        <v>6.83</v>
      </c>
      <c r="O19" s="37">
        <f t="shared" ref="O19:O25" si="12">IF(B19=0,0,VLOOKUP(A19,$A$40:$P$135,13,FALSE))</f>
        <v>1.88</v>
      </c>
      <c r="P19" s="37">
        <f t="shared" ref="P19:P25" si="13">IF(B19=0,0,VLOOKUP(A19,$A$40:$P$135,14,FALSE))</f>
        <v>602</v>
      </c>
      <c r="Q19" s="37">
        <f t="shared" ref="Q19:Q25" si="14">IF(B19=0,0,VLOOKUP(A19,$A$40:$P$135,15,FALSE))</f>
        <v>216</v>
      </c>
      <c r="R19" s="50">
        <f t="shared" ref="R19:R25" si="15">IF(B19=0,0,VLOOKUP(A19,$A$40:$P$135,16,FALSE))</f>
        <v>2.1</v>
      </c>
      <c r="S19" s="133">
        <v>130</v>
      </c>
      <c r="T19" s="134"/>
    </row>
    <row r="20" spans="1:34" ht="23.4" x14ac:dyDescent="0.45">
      <c r="A20" s="15" t="s">
        <v>19</v>
      </c>
      <c r="B20" s="15">
        <v>23</v>
      </c>
      <c r="C20" s="37">
        <f t="shared" si="0"/>
        <v>87.8</v>
      </c>
      <c r="D20" s="37">
        <f t="shared" si="1"/>
        <v>1.06</v>
      </c>
      <c r="E20" s="48">
        <f t="shared" si="2"/>
        <v>1.05</v>
      </c>
      <c r="F20" s="37">
        <f t="shared" si="3"/>
        <v>331</v>
      </c>
      <c r="G20" s="37">
        <f t="shared" si="4"/>
        <v>229</v>
      </c>
      <c r="H20" s="37">
        <f t="shared" si="5"/>
        <v>516</v>
      </c>
      <c r="I20" s="37">
        <f t="shared" si="6"/>
        <v>68</v>
      </c>
      <c r="J20" s="37">
        <f t="shared" si="7"/>
        <v>5</v>
      </c>
      <c r="K20" s="37">
        <f t="shared" si="8"/>
        <v>3.9</v>
      </c>
      <c r="L20" s="37">
        <f t="shared" si="9"/>
        <v>3.3</v>
      </c>
      <c r="M20" s="37">
        <f t="shared" si="10"/>
        <v>177</v>
      </c>
      <c r="N20" s="37">
        <f t="shared" si="11"/>
        <v>6.9</v>
      </c>
      <c r="O20" s="37">
        <f t="shared" si="12"/>
        <v>1.5</v>
      </c>
      <c r="P20" s="37">
        <f t="shared" si="13"/>
        <v>0</v>
      </c>
      <c r="Q20" s="37">
        <f t="shared" si="14"/>
        <v>139</v>
      </c>
      <c r="R20" s="50">
        <f t="shared" si="15"/>
        <v>0</v>
      </c>
      <c r="S20" s="133">
        <v>360</v>
      </c>
      <c r="T20" s="134"/>
    </row>
    <row r="21" spans="1:34" ht="23.4" x14ac:dyDescent="0.45">
      <c r="A21" s="15" t="s">
        <v>104</v>
      </c>
      <c r="B21" s="15">
        <v>2</v>
      </c>
      <c r="C21" s="37">
        <f t="shared" si="0"/>
        <v>100</v>
      </c>
      <c r="D21" s="37">
        <f t="shared" si="1"/>
        <v>0</v>
      </c>
      <c r="E21" s="48">
        <f t="shared" si="2"/>
        <v>0</v>
      </c>
      <c r="F21" s="37">
        <f t="shared" si="3"/>
        <v>0</v>
      </c>
      <c r="G21" s="37">
        <f t="shared" si="4"/>
        <v>0</v>
      </c>
      <c r="H21" s="37">
        <f t="shared" si="5"/>
        <v>0</v>
      </c>
      <c r="I21" s="37">
        <f t="shared" si="6"/>
        <v>0</v>
      </c>
      <c r="J21" s="37">
        <f t="shared" si="7"/>
        <v>275</v>
      </c>
      <c r="K21" s="37">
        <f t="shared" si="8"/>
        <v>13.5</v>
      </c>
      <c r="L21" s="37">
        <f t="shared" si="9"/>
        <v>1.5</v>
      </c>
      <c r="M21" s="37">
        <f t="shared" si="10"/>
        <v>0</v>
      </c>
      <c r="N21" s="37">
        <f t="shared" si="11"/>
        <v>0</v>
      </c>
      <c r="O21" s="37">
        <f t="shared" si="12"/>
        <v>0</v>
      </c>
      <c r="P21" s="37">
        <f t="shared" si="13"/>
        <v>0</v>
      </c>
      <c r="Q21" s="37">
        <f t="shared" si="14"/>
        <v>0</v>
      </c>
      <c r="R21" s="50">
        <f t="shared" si="15"/>
        <v>0</v>
      </c>
      <c r="S21" s="133">
        <v>800</v>
      </c>
      <c r="T21" s="134"/>
    </row>
    <row r="22" spans="1:34" ht="23.4" x14ac:dyDescent="0.45">
      <c r="A22" s="15"/>
      <c r="B22" s="15">
        <v>0</v>
      </c>
      <c r="C22" s="37">
        <f t="shared" si="0"/>
        <v>0</v>
      </c>
      <c r="D22" s="37">
        <f t="shared" si="1"/>
        <v>0</v>
      </c>
      <c r="E22" s="48">
        <f t="shared" si="2"/>
        <v>0</v>
      </c>
      <c r="F22" s="37">
        <f t="shared" si="3"/>
        <v>0</v>
      </c>
      <c r="G22" s="37">
        <f t="shared" si="4"/>
        <v>0</v>
      </c>
      <c r="H22" s="37">
        <f t="shared" si="5"/>
        <v>0</v>
      </c>
      <c r="I22" s="37">
        <f t="shared" si="6"/>
        <v>0</v>
      </c>
      <c r="J22" s="37">
        <f t="shared" si="7"/>
        <v>0</v>
      </c>
      <c r="K22" s="37">
        <f t="shared" si="8"/>
        <v>0</v>
      </c>
      <c r="L22" s="37">
        <f t="shared" si="9"/>
        <v>0</v>
      </c>
      <c r="M22" s="37">
        <f t="shared" si="10"/>
        <v>0</v>
      </c>
      <c r="N22" s="37">
        <f t="shared" si="11"/>
        <v>0</v>
      </c>
      <c r="O22" s="37">
        <f t="shared" si="12"/>
        <v>0</v>
      </c>
      <c r="P22" s="37">
        <f t="shared" si="13"/>
        <v>0</v>
      </c>
      <c r="Q22" s="37">
        <f t="shared" si="14"/>
        <v>0</v>
      </c>
      <c r="R22" s="50">
        <f t="shared" si="15"/>
        <v>0</v>
      </c>
      <c r="S22" s="133"/>
      <c r="T22" s="134"/>
    </row>
    <row r="23" spans="1:34" ht="23.4" x14ac:dyDescent="0.45">
      <c r="A23" s="15"/>
      <c r="B23" s="15">
        <v>0</v>
      </c>
      <c r="C23" s="37">
        <f t="shared" si="0"/>
        <v>0</v>
      </c>
      <c r="D23" s="37">
        <f t="shared" si="1"/>
        <v>0</v>
      </c>
      <c r="E23" s="48">
        <f t="shared" si="2"/>
        <v>0</v>
      </c>
      <c r="F23" s="37">
        <f t="shared" si="3"/>
        <v>0</v>
      </c>
      <c r="G23" s="37">
        <f t="shared" si="4"/>
        <v>0</v>
      </c>
      <c r="H23" s="37">
        <f t="shared" si="5"/>
        <v>0</v>
      </c>
      <c r="I23" s="37">
        <f t="shared" si="6"/>
        <v>0</v>
      </c>
      <c r="J23" s="37">
        <f t="shared" si="7"/>
        <v>0</v>
      </c>
      <c r="K23" s="37">
        <f t="shared" si="8"/>
        <v>0</v>
      </c>
      <c r="L23" s="37">
        <f t="shared" si="9"/>
        <v>0</v>
      </c>
      <c r="M23" s="37">
        <f t="shared" si="10"/>
        <v>0</v>
      </c>
      <c r="N23" s="37">
        <f t="shared" si="11"/>
        <v>0</v>
      </c>
      <c r="O23" s="37">
        <f t="shared" si="12"/>
        <v>0</v>
      </c>
      <c r="P23" s="37">
        <f t="shared" si="13"/>
        <v>0</v>
      </c>
      <c r="Q23" s="37">
        <f t="shared" si="14"/>
        <v>0</v>
      </c>
      <c r="R23" s="50">
        <f t="shared" si="15"/>
        <v>0</v>
      </c>
      <c r="S23" s="133"/>
      <c r="T23" s="134"/>
    </row>
    <row r="24" spans="1:34" ht="23.4" x14ac:dyDescent="0.45">
      <c r="A24" s="15"/>
      <c r="B24" s="15"/>
      <c r="C24" s="37">
        <f t="shared" si="0"/>
        <v>0</v>
      </c>
      <c r="D24" s="37">
        <f t="shared" si="1"/>
        <v>0</v>
      </c>
      <c r="E24" s="48">
        <f t="shared" si="2"/>
        <v>0</v>
      </c>
      <c r="F24" s="37">
        <f t="shared" si="3"/>
        <v>0</v>
      </c>
      <c r="G24" s="37">
        <f t="shared" si="4"/>
        <v>0</v>
      </c>
      <c r="H24" s="37">
        <f t="shared" si="5"/>
        <v>0</v>
      </c>
      <c r="I24" s="37">
        <f t="shared" si="6"/>
        <v>0</v>
      </c>
      <c r="J24" s="37">
        <f t="shared" si="7"/>
        <v>0</v>
      </c>
      <c r="K24" s="37">
        <f t="shared" si="8"/>
        <v>0</v>
      </c>
      <c r="L24" s="37">
        <f t="shared" si="9"/>
        <v>0</v>
      </c>
      <c r="M24" s="37">
        <f t="shared" si="10"/>
        <v>0</v>
      </c>
      <c r="N24" s="37">
        <f t="shared" si="11"/>
        <v>0</v>
      </c>
      <c r="O24" s="37">
        <f t="shared" si="12"/>
        <v>0</v>
      </c>
      <c r="P24" s="37">
        <f t="shared" si="13"/>
        <v>0</v>
      </c>
      <c r="Q24" s="37">
        <f t="shared" si="14"/>
        <v>0</v>
      </c>
      <c r="R24" s="50">
        <f t="shared" si="15"/>
        <v>0</v>
      </c>
      <c r="S24" s="133"/>
      <c r="T24" s="134"/>
    </row>
    <row r="25" spans="1:34" ht="23.4" x14ac:dyDescent="0.45">
      <c r="A25" s="15"/>
      <c r="B25" s="15"/>
      <c r="C25" s="37">
        <f t="shared" si="0"/>
        <v>0</v>
      </c>
      <c r="D25" s="37">
        <f t="shared" si="1"/>
        <v>0</v>
      </c>
      <c r="E25" s="48">
        <f t="shared" si="2"/>
        <v>0</v>
      </c>
      <c r="F25" s="37">
        <f t="shared" si="3"/>
        <v>0</v>
      </c>
      <c r="G25" s="37">
        <f t="shared" si="4"/>
        <v>0</v>
      </c>
      <c r="H25" s="37">
        <f t="shared" si="5"/>
        <v>0</v>
      </c>
      <c r="I25" s="37">
        <f t="shared" si="6"/>
        <v>0</v>
      </c>
      <c r="J25" s="37">
        <f t="shared" si="7"/>
        <v>0</v>
      </c>
      <c r="K25" s="37">
        <f t="shared" si="8"/>
        <v>0</v>
      </c>
      <c r="L25" s="37">
        <f t="shared" si="9"/>
        <v>0</v>
      </c>
      <c r="M25" s="37">
        <f t="shared" si="10"/>
        <v>0</v>
      </c>
      <c r="N25" s="37">
        <f t="shared" si="11"/>
        <v>0</v>
      </c>
      <c r="O25" s="37">
        <f t="shared" si="12"/>
        <v>0</v>
      </c>
      <c r="P25" s="37">
        <f t="shared" si="13"/>
        <v>0</v>
      </c>
      <c r="Q25" s="37">
        <f t="shared" si="14"/>
        <v>0</v>
      </c>
      <c r="R25" s="50">
        <f t="shared" si="15"/>
        <v>0</v>
      </c>
      <c r="S25" s="133"/>
      <c r="T25" s="134"/>
    </row>
    <row r="26" spans="1:34" ht="23.4" x14ac:dyDescent="0.45">
      <c r="A26" s="22" t="s">
        <v>152</v>
      </c>
      <c r="B26" s="23">
        <f>SUM(B19:B25)</f>
        <v>100</v>
      </c>
      <c r="C26" s="24">
        <f>(C19*$B$19+C20*$B$20+C21*$B$21+C22*$B$22+C23*$B$23+C24*$B$24)/100</f>
        <v>87.369</v>
      </c>
      <c r="D26" s="25">
        <f>(D19*$B$19+D20*$B$20+D21*$B$21+D22*$B$22+D23*$B$23+D24*$B$24+B25*D25)/100</f>
        <v>0.95629999999999993</v>
      </c>
      <c r="E26" s="25">
        <f>(E19*$B$19+E20*$B$20+E21*$B$21+E22*$B$22+E23*$B$23+E24*$B$24+B25*E25)/100</f>
        <v>0.93900000000000006</v>
      </c>
      <c r="F26" s="26">
        <f>(F19*$B$19+F20*$B$20+F21*$B$21+F22*$B$22+F23*$B$23+F24*$B$24+B25*F25)/100</f>
        <v>127.88</v>
      </c>
      <c r="G26" s="24">
        <f>(G19*$B$19+G20*$B$20+G21*$B$21+G22*$B$22+G23*$B$23+G24*$B$24+B25*G25)/100</f>
        <v>117.92</v>
      </c>
      <c r="H26" s="24">
        <f>(H19*$B$19+H20*$B$20+H21*$B$21+H22*$B$22+H23*$B$23+H24*$B$24+B25*H25)/1000</f>
        <v>20.568000000000001</v>
      </c>
      <c r="I26" s="26">
        <f>(I19*$B$19+I20*$B$20+I21*$B$21+I22*$B$22+I23*$B$23+I24*$B$24+B25*I25)/100</f>
        <v>53.14</v>
      </c>
      <c r="J26" s="26">
        <f>(J19*$B$19+J20*$B$20+J21*$B$21+J22*$B$22+J23*$B$23+J24*$B$24+B25*J25)/100</f>
        <v>8.9</v>
      </c>
      <c r="K26" s="24">
        <f>(K19*$B$19+K20*$B$20+K21*$B$21+K22*$B$22+K23*$B$23+K24*$B$24+K25*B25)/100</f>
        <v>1.6919999999999999</v>
      </c>
      <c r="L26" s="24">
        <f>(L19*$B$19+L20*$B$20+L21*$B$21+L22*$B$22+L23*$B$23+L24*$B$24+L25*B25)/100</f>
        <v>1.7639999999999998</v>
      </c>
      <c r="M26" s="24">
        <f>(M19*$B$19+M20*$B$20+M21*$B$21+M22*$B$22+M23*$B$23+M24*$B$24+M25*B25)/100</f>
        <v>63.21</v>
      </c>
      <c r="N26" s="24">
        <f>(N19*$B$19+N20*$B$20+N21*$B$21+N22*$B$22+N23*$B$23+N24*$B$24+N25*B25)/100</f>
        <v>6.7095000000000002</v>
      </c>
      <c r="O26" s="24">
        <f>(O19*$B$19+O20*$B$20+O21*$B$21+O22*$B$22+O23*$B$23+O24*$B$24+O25*B25)/100</f>
        <v>1.7549999999999999</v>
      </c>
      <c r="P26" s="26">
        <f>(P19*$B$19+P20*$B$20+P21*$B$21+P22*$B$22+P23*$B$23+P24*$B$24+P25*B25)/100</f>
        <v>451.5</v>
      </c>
      <c r="Q26" s="26">
        <f>(Q19*$B$19+Q20*$B$20+Q21*$B$21+Q22*$B$22+Q23*$B$23+Q24*$B$24+Q25*B25)/100</f>
        <v>193.97</v>
      </c>
      <c r="R26" s="26">
        <f>(R19*$B$19+R20*$B$20+R21*$B$21+R22*$B$22+R23*$B$23+R24*$B$24+R25*B25)/100</f>
        <v>1.575</v>
      </c>
      <c r="S26" s="124">
        <f>(S19*$B$19+S20*$B$20+S21*$B$21+S22*$B$22+S23*$B$23+S24*$B$24+S25*B25)/100+T16</f>
        <v>196.3</v>
      </c>
      <c r="T26" s="124"/>
    </row>
    <row r="27" spans="1:34" ht="15.6" x14ac:dyDescent="0.3">
      <c r="A27" s="3"/>
      <c r="B27" s="4"/>
      <c r="C27" s="5"/>
      <c r="D27" s="6"/>
      <c r="E27" s="6"/>
      <c r="F27" s="6"/>
      <c r="G27" s="5"/>
      <c r="H27" s="5"/>
      <c r="I27" s="7"/>
      <c r="J27" s="5"/>
      <c r="K27" s="5"/>
      <c r="L27" s="5"/>
      <c r="M27" s="5"/>
      <c r="N27" s="5"/>
      <c r="O27" s="5"/>
      <c r="P27" s="5"/>
      <c r="Q27" s="6"/>
      <c r="R27" s="14"/>
      <c r="S27" s="14"/>
      <c r="T27" s="14"/>
    </row>
    <row r="28" spans="1:34" ht="16.2" thickBot="1" x14ac:dyDescent="0.35">
      <c r="A28" s="14"/>
      <c r="B28" s="14"/>
      <c r="C28" s="14"/>
      <c r="D28" s="14"/>
      <c r="E28" s="14"/>
      <c r="F28" s="14"/>
      <c r="G28" s="5"/>
      <c r="H28" s="5"/>
      <c r="I28" s="7"/>
      <c r="J28" s="5"/>
      <c r="K28" s="5"/>
      <c r="L28" s="5"/>
      <c r="M28" s="5"/>
      <c r="N28" s="5"/>
      <c r="O28" s="5"/>
      <c r="P28" s="5"/>
      <c r="Q28" s="6"/>
    </row>
    <row r="29" spans="1:34" ht="21" customHeight="1" x14ac:dyDescent="0.5">
      <c r="A29" s="12"/>
      <c r="B29" s="12"/>
      <c r="C29" s="67"/>
      <c r="D29" s="68"/>
      <c r="E29" s="128" t="s">
        <v>136</v>
      </c>
      <c r="F29" s="128"/>
      <c r="G29" s="128"/>
      <c r="H29" s="128"/>
      <c r="I29" s="69"/>
      <c r="J29" s="5"/>
      <c r="K29" s="127" t="s">
        <v>158</v>
      </c>
      <c r="L29" s="127"/>
      <c r="M29" s="127"/>
      <c r="N29" s="5"/>
    </row>
    <row r="30" spans="1:34" ht="21" customHeight="1" x14ac:dyDescent="0.45">
      <c r="A30" s="12"/>
      <c r="B30" s="12"/>
      <c r="C30" s="39" t="s">
        <v>66</v>
      </c>
      <c r="D30" s="5"/>
      <c r="E30" s="5"/>
      <c r="F30" s="5"/>
      <c r="G30" s="5"/>
      <c r="H30" s="5"/>
      <c r="I30" s="21"/>
      <c r="J30" s="5"/>
      <c r="K30" s="127"/>
      <c r="L30" s="127"/>
      <c r="M30" s="127"/>
      <c r="N30" s="5"/>
    </row>
    <row r="31" spans="1:34" ht="21" customHeight="1" x14ac:dyDescent="0.45">
      <c r="A31" s="3"/>
      <c r="B31" s="4"/>
      <c r="C31" s="40" t="s">
        <v>67</v>
      </c>
      <c r="D31" s="20"/>
      <c r="E31" s="32"/>
      <c r="F31" s="33"/>
      <c r="G31" s="33" t="s">
        <v>57</v>
      </c>
      <c r="H31" s="33"/>
      <c r="I31" s="34"/>
      <c r="J31" s="5"/>
      <c r="K31" s="127"/>
      <c r="L31" s="127"/>
      <c r="M31" s="127"/>
      <c r="N31" s="5"/>
    </row>
    <row r="32" spans="1:34" ht="25.8" customHeight="1" x14ac:dyDescent="0.45">
      <c r="A32" s="3"/>
      <c r="B32" s="4"/>
      <c r="C32" s="19"/>
      <c r="D32" s="5"/>
      <c r="E32" s="33"/>
      <c r="F32" s="33"/>
      <c r="G32" s="33"/>
      <c r="H32" s="33"/>
      <c r="I32" s="35"/>
      <c r="J32" s="5"/>
      <c r="K32" s="127"/>
      <c r="L32" s="127"/>
      <c r="M32" s="127"/>
      <c r="N32" s="5"/>
    </row>
    <row r="33" spans="1:20" ht="23.4" x14ac:dyDescent="0.45">
      <c r="A33" s="3"/>
      <c r="B33" s="4"/>
      <c r="C33" s="31" t="s">
        <v>112</v>
      </c>
      <c r="D33" s="27"/>
      <c r="E33" s="33"/>
      <c r="F33" s="33"/>
      <c r="G33" s="33" t="s">
        <v>68</v>
      </c>
      <c r="H33" s="35"/>
      <c r="I33" s="36"/>
      <c r="J33" s="5"/>
      <c r="K33" s="5"/>
      <c r="L33" s="5"/>
      <c r="M33" s="5"/>
      <c r="N33" s="5"/>
      <c r="O33" s="93" t="e">
        <f>(320+#REF!*5.95+#REF!*2.95)/1000</f>
        <v>#REF!</v>
      </c>
      <c r="P33" s="5"/>
      <c r="Q33" s="6"/>
    </row>
    <row r="34" spans="1:20" ht="15.6" x14ac:dyDescent="0.3">
      <c r="A34" s="3"/>
      <c r="B34" s="4"/>
      <c r="C34" s="28"/>
      <c r="D34" s="20"/>
      <c r="E34" s="20"/>
      <c r="F34" s="20"/>
      <c r="G34" s="20"/>
      <c r="H34" s="20"/>
      <c r="I34" s="30"/>
      <c r="J34" s="5"/>
      <c r="K34" s="5"/>
      <c r="L34" s="5"/>
      <c r="M34" s="5"/>
      <c r="N34" s="5"/>
      <c r="O34" s="5"/>
      <c r="P34" s="5"/>
      <c r="Q34" s="6"/>
    </row>
    <row r="35" spans="1:20" ht="15.6" x14ac:dyDescent="0.3">
      <c r="A35" s="3"/>
      <c r="B35" s="4"/>
      <c r="C35" s="130" t="s">
        <v>63</v>
      </c>
      <c r="D35" s="131"/>
      <c r="E35" s="131"/>
      <c r="F35" s="132" t="s">
        <v>64</v>
      </c>
      <c r="G35" s="132" t="s">
        <v>111</v>
      </c>
      <c r="H35" s="132"/>
      <c r="I35" s="156" t="s">
        <v>65</v>
      </c>
      <c r="J35" s="5"/>
      <c r="K35" s="5"/>
      <c r="L35" s="5"/>
      <c r="M35" s="5"/>
      <c r="N35" s="5"/>
      <c r="O35" s="5"/>
      <c r="P35" s="5"/>
      <c r="Q35" s="6"/>
    </row>
    <row r="36" spans="1:20" ht="24.6" customHeight="1" x14ac:dyDescent="0.3">
      <c r="A36" s="3"/>
      <c r="B36" s="4"/>
      <c r="C36" s="130"/>
      <c r="D36" s="131"/>
      <c r="E36" s="131"/>
      <c r="F36" s="132"/>
      <c r="G36" s="132"/>
      <c r="H36" s="132"/>
      <c r="I36" s="156"/>
      <c r="J36" s="5"/>
      <c r="K36" s="5"/>
      <c r="L36" s="5"/>
      <c r="M36" s="5"/>
      <c r="N36" s="5"/>
      <c r="O36" s="5"/>
      <c r="P36" s="5"/>
      <c r="Q36" s="6"/>
    </row>
    <row r="37" spans="1:20" ht="21" x14ac:dyDescent="0.4">
      <c r="A37" s="3"/>
      <c r="B37" s="4"/>
      <c r="C37" s="137" t="s">
        <v>58</v>
      </c>
      <c r="D37" s="138"/>
      <c r="E37" s="139"/>
      <c r="F37" s="29" t="s">
        <v>60</v>
      </c>
      <c r="G37" s="129" t="s">
        <v>61</v>
      </c>
      <c r="H37" s="129"/>
      <c r="I37" s="41" t="s">
        <v>61</v>
      </c>
      <c r="J37" s="5"/>
      <c r="K37" s="5"/>
      <c r="L37" s="5"/>
      <c r="M37" s="5"/>
      <c r="N37" s="5"/>
      <c r="O37" s="5"/>
      <c r="P37" s="5"/>
      <c r="Q37" s="6"/>
    </row>
    <row r="38" spans="1:20" ht="21.6" thickBot="1" x14ac:dyDescent="0.45">
      <c r="A38" s="3"/>
      <c r="B38" s="4"/>
      <c r="C38" s="42"/>
      <c r="D38" s="43" t="s">
        <v>59</v>
      </c>
      <c r="E38" s="44"/>
      <c r="F38" s="43" t="s">
        <v>62</v>
      </c>
      <c r="G38" s="125" t="s">
        <v>60</v>
      </c>
      <c r="H38" s="126"/>
      <c r="I38" s="45" t="s">
        <v>61</v>
      </c>
      <c r="J38" s="5"/>
      <c r="K38" s="5"/>
      <c r="L38" s="5"/>
      <c r="M38" s="5"/>
      <c r="N38" s="5"/>
      <c r="O38" s="5"/>
      <c r="P38" s="5"/>
      <c r="Q38" s="6"/>
    </row>
    <row r="39" spans="1:20" ht="15.6" x14ac:dyDescent="0.3">
      <c r="A39" s="3"/>
      <c r="B39" s="4"/>
      <c r="C39" s="5"/>
      <c r="D39" s="6"/>
      <c r="E39" s="6"/>
      <c r="F39" s="6"/>
      <c r="G39" s="5"/>
      <c r="H39" s="5"/>
      <c r="I39" s="7"/>
      <c r="J39" s="5"/>
      <c r="K39" s="5"/>
      <c r="L39" s="5"/>
      <c r="M39" s="5"/>
      <c r="N39" s="5"/>
      <c r="O39" s="5"/>
      <c r="P39" s="5"/>
      <c r="Q39" s="6"/>
    </row>
    <row r="40" spans="1:20" s="51" customFormat="1" ht="25.2" customHeight="1" x14ac:dyDescent="0.3">
      <c r="A40" s="51" t="s">
        <v>131</v>
      </c>
      <c r="B40" s="52" t="s">
        <v>32</v>
      </c>
      <c r="C40" s="51" t="s">
        <v>33</v>
      </c>
      <c r="D40" s="51" t="s">
        <v>98</v>
      </c>
      <c r="E40" s="52" t="s">
        <v>97</v>
      </c>
      <c r="F40" s="51" t="s">
        <v>38</v>
      </c>
      <c r="G40" s="51" t="s">
        <v>39</v>
      </c>
      <c r="H40" s="51" t="s">
        <v>35</v>
      </c>
      <c r="I40" s="52" t="s">
        <v>34</v>
      </c>
      <c r="J40" s="51" t="s">
        <v>36</v>
      </c>
      <c r="K40" s="52" t="s">
        <v>37</v>
      </c>
      <c r="L40" s="51" t="s">
        <v>40</v>
      </c>
      <c r="M40" s="52" t="s">
        <v>41</v>
      </c>
      <c r="N40" s="51" t="s">
        <v>44</v>
      </c>
      <c r="O40" s="51" t="s">
        <v>45</v>
      </c>
      <c r="P40" s="51" t="s">
        <v>92</v>
      </c>
      <c r="Q40" s="51" t="s">
        <v>114</v>
      </c>
    </row>
    <row r="41" spans="1:20" s="80" customFormat="1" ht="24" customHeight="1" x14ac:dyDescent="0.3">
      <c r="A41" s="96" t="s">
        <v>125</v>
      </c>
      <c r="B41" s="9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20" s="80" customFormat="1" ht="24" customHeight="1" x14ac:dyDescent="0.3">
      <c r="A42" s="96" t="s">
        <v>140</v>
      </c>
      <c r="B42" s="81">
        <f>C26</f>
        <v>87.369</v>
      </c>
      <c r="C42" s="106">
        <f t="shared" ref="C42:D42" si="16">D26</f>
        <v>0.95629999999999993</v>
      </c>
      <c r="D42" s="106">
        <f t="shared" si="16"/>
        <v>0.93900000000000006</v>
      </c>
      <c r="E42" s="81">
        <f>M26</f>
        <v>63.21</v>
      </c>
      <c r="F42" s="81">
        <f>F26</f>
        <v>127.88</v>
      </c>
      <c r="G42" s="81">
        <f>G26</f>
        <v>117.92</v>
      </c>
      <c r="H42" s="81">
        <f>H26</f>
        <v>20.568000000000001</v>
      </c>
      <c r="I42" s="81">
        <f t="shared" ref="I42:K42" si="17">I26</f>
        <v>53.14</v>
      </c>
      <c r="J42" s="81">
        <f t="shared" si="17"/>
        <v>8.9</v>
      </c>
      <c r="K42" s="81">
        <f t="shared" si="17"/>
        <v>1.6919999999999999</v>
      </c>
      <c r="L42" s="81">
        <f>N26</f>
        <v>6.7095000000000002</v>
      </c>
      <c r="M42" s="81">
        <f>O26</f>
        <v>1.7549999999999999</v>
      </c>
      <c r="N42" s="81">
        <f>P26</f>
        <v>451.5</v>
      </c>
      <c r="O42" s="81">
        <f t="shared" ref="O42:P42" si="18">Q26</f>
        <v>193.97</v>
      </c>
      <c r="P42" s="81">
        <f t="shared" si="18"/>
        <v>1.575</v>
      </c>
      <c r="Q42" s="81">
        <f>L26</f>
        <v>1.7639999999999998</v>
      </c>
    </row>
    <row r="43" spans="1:20" s="80" customFormat="1" ht="25.2" customHeight="1" x14ac:dyDescent="0.3">
      <c r="A43" s="96" t="s">
        <v>126</v>
      </c>
      <c r="B43" s="95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20" s="80" customFormat="1" ht="25.2" customHeight="1" x14ac:dyDescent="0.3">
      <c r="A44" s="96" t="s">
        <v>133</v>
      </c>
      <c r="B44" s="95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20" s="80" customFormat="1" ht="25.2" customHeight="1" x14ac:dyDescent="0.3">
      <c r="A45" s="96" t="s">
        <v>130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20" ht="12.6" customHeight="1" x14ac:dyDescent="0.3">
      <c r="A46" s="87" t="s">
        <v>137</v>
      </c>
      <c r="B46" s="87">
        <v>91</v>
      </c>
      <c r="C46" s="87">
        <v>0.94</v>
      </c>
      <c r="D46" s="87">
        <v>0.92</v>
      </c>
      <c r="E46" s="87">
        <v>37.299999999999997</v>
      </c>
      <c r="F46" s="87">
        <v>99</v>
      </c>
      <c r="G46" s="87">
        <v>89</v>
      </c>
      <c r="H46" s="87">
        <v>160</v>
      </c>
      <c r="I46" s="87">
        <v>63</v>
      </c>
      <c r="J46" s="87"/>
      <c r="K46" s="87"/>
      <c r="L46" s="87"/>
      <c r="M46" s="87"/>
      <c r="N46" s="87">
        <v>140</v>
      </c>
      <c r="O46" s="89"/>
      <c r="P46" s="89">
        <v>5.4</v>
      </c>
      <c r="Q46" s="89"/>
      <c r="R46" s="87"/>
    </row>
    <row r="47" spans="1:20" x14ac:dyDescent="0.3">
      <c r="A47" s="87" t="s">
        <v>11</v>
      </c>
      <c r="B47" s="87">
        <v>88.1</v>
      </c>
      <c r="C47" s="87">
        <v>0.77</v>
      </c>
      <c r="D47" s="87">
        <v>0.71</v>
      </c>
      <c r="E47" s="87">
        <v>62</v>
      </c>
      <c r="F47" s="87">
        <v>61</v>
      </c>
      <c r="G47" s="87">
        <v>61</v>
      </c>
      <c r="H47" s="87">
        <v>111</v>
      </c>
      <c r="I47" s="87">
        <v>138</v>
      </c>
      <c r="J47" s="87">
        <v>2.7</v>
      </c>
      <c r="K47" s="87">
        <v>1.2</v>
      </c>
      <c r="L47" s="87">
        <v>7</v>
      </c>
      <c r="M47" s="87">
        <v>2</v>
      </c>
      <c r="N47" s="87">
        <v>411</v>
      </c>
      <c r="O47" s="89">
        <v>372</v>
      </c>
      <c r="P47" s="89">
        <v>5.4</v>
      </c>
      <c r="Q47" s="89">
        <v>1.1000000000000001</v>
      </c>
      <c r="R47" s="87"/>
      <c r="T47" s="91">
        <v>10</v>
      </c>
    </row>
    <row r="48" spans="1:20" x14ac:dyDescent="0.3">
      <c r="A48" s="87" t="s">
        <v>90</v>
      </c>
      <c r="B48" s="87">
        <v>88.8</v>
      </c>
      <c r="C48" s="87">
        <v>0.78</v>
      </c>
      <c r="D48" s="87">
        <v>0.71</v>
      </c>
      <c r="E48" s="87">
        <v>21</v>
      </c>
      <c r="F48" s="87">
        <v>65</v>
      </c>
      <c r="G48" s="87">
        <v>66</v>
      </c>
      <c r="H48" s="87">
        <v>111</v>
      </c>
      <c r="I48" s="87">
        <v>138</v>
      </c>
      <c r="J48" s="87">
        <v>2.7</v>
      </c>
      <c r="K48" s="87">
        <v>0.7</v>
      </c>
      <c r="L48" s="87"/>
      <c r="M48" s="87"/>
      <c r="N48" s="87">
        <v>411</v>
      </c>
      <c r="O48" s="89">
        <v>372</v>
      </c>
      <c r="P48" s="89">
        <v>5.4</v>
      </c>
      <c r="Q48" s="116">
        <v>1</v>
      </c>
      <c r="R48" s="87"/>
    </row>
    <row r="49" spans="1:18" x14ac:dyDescent="0.3">
      <c r="A49" s="87" t="s">
        <v>28</v>
      </c>
      <c r="B49" s="87">
        <v>86.8</v>
      </c>
      <c r="C49" s="87">
        <v>1.02</v>
      </c>
      <c r="D49" s="87">
        <v>1.02</v>
      </c>
      <c r="E49" s="87">
        <v>26</v>
      </c>
      <c r="F49" s="87">
        <v>70</v>
      </c>
      <c r="G49" s="87">
        <v>89</v>
      </c>
      <c r="H49" s="87">
        <v>121</v>
      </c>
      <c r="I49" s="87">
        <v>26</v>
      </c>
      <c r="J49" s="87">
        <v>2.6</v>
      </c>
      <c r="K49" s="87">
        <v>0.8</v>
      </c>
      <c r="L49" s="87">
        <v>6.7</v>
      </c>
      <c r="M49" s="87">
        <v>1.9</v>
      </c>
      <c r="N49" s="87">
        <v>633</v>
      </c>
      <c r="O49" s="89">
        <v>164</v>
      </c>
      <c r="P49" s="89">
        <v>2.1</v>
      </c>
      <c r="Q49" s="89">
        <v>1.1000000000000001</v>
      </c>
      <c r="R49" s="87"/>
    </row>
    <row r="50" spans="1:18" ht="18.600000000000001" customHeight="1" x14ac:dyDescent="0.3">
      <c r="A50" s="87" t="s">
        <v>95</v>
      </c>
      <c r="B50" s="87">
        <v>85</v>
      </c>
      <c r="C50" s="87">
        <v>0.54</v>
      </c>
      <c r="D50" s="87">
        <v>0.45</v>
      </c>
      <c r="E50" s="87">
        <v>24</v>
      </c>
      <c r="F50" s="87">
        <v>49</v>
      </c>
      <c r="G50" s="87">
        <v>62</v>
      </c>
      <c r="H50" s="87">
        <v>88</v>
      </c>
      <c r="I50" s="87">
        <v>353</v>
      </c>
      <c r="J50" s="89">
        <v>2</v>
      </c>
      <c r="K50" s="89">
        <v>1.4</v>
      </c>
      <c r="L50" s="87"/>
      <c r="M50" s="87"/>
      <c r="N50" s="87"/>
      <c r="O50" s="89">
        <v>648</v>
      </c>
      <c r="P50" s="87"/>
      <c r="Q50" s="89">
        <v>2.2000000000000002</v>
      </c>
      <c r="R50" s="87"/>
    </row>
    <row r="51" spans="1:18" ht="17.399999999999999" customHeight="1" x14ac:dyDescent="0.3">
      <c r="A51" s="87" t="s">
        <v>82</v>
      </c>
      <c r="B51" s="87">
        <v>100</v>
      </c>
      <c r="C51" s="87"/>
      <c r="D51" s="87"/>
      <c r="E51" s="87"/>
      <c r="F51" s="87"/>
      <c r="G51" s="87"/>
      <c r="H51" s="87"/>
      <c r="I51" s="87"/>
      <c r="J51" s="89">
        <v>16.7</v>
      </c>
      <c r="K51" s="87"/>
      <c r="L51" s="87"/>
      <c r="M51" s="87"/>
      <c r="N51" s="87"/>
      <c r="O51" s="87"/>
      <c r="P51" s="87"/>
      <c r="Q51" s="87"/>
      <c r="R51" s="87"/>
    </row>
    <row r="52" spans="1:18" ht="18.600000000000001" customHeight="1" x14ac:dyDescent="0.3">
      <c r="A52" s="87" t="s">
        <v>103</v>
      </c>
      <c r="B52" s="87">
        <v>100</v>
      </c>
      <c r="C52" s="87"/>
      <c r="D52" s="87"/>
      <c r="E52" s="87"/>
      <c r="F52" s="87"/>
      <c r="G52" s="87"/>
      <c r="H52" s="87"/>
      <c r="I52" s="87"/>
      <c r="J52" s="89">
        <v>0</v>
      </c>
      <c r="K52" s="89">
        <v>14</v>
      </c>
      <c r="L52" s="87"/>
      <c r="M52" s="87"/>
      <c r="N52" s="87"/>
      <c r="O52" s="89"/>
      <c r="P52" s="89"/>
      <c r="Q52" s="89">
        <v>1.5</v>
      </c>
      <c r="R52" s="87"/>
    </row>
    <row r="53" spans="1:18" ht="18.600000000000001" customHeight="1" x14ac:dyDescent="0.3">
      <c r="A53" s="87" t="s">
        <v>104</v>
      </c>
      <c r="B53" s="87">
        <v>100</v>
      </c>
      <c r="C53" s="87"/>
      <c r="D53" s="87"/>
      <c r="E53" s="87"/>
      <c r="F53" s="87"/>
      <c r="G53" s="87"/>
      <c r="H53" s="87"/>
      <c r="I53" s="87"/>
      <c r="J53" s="89">
        <v>275</v>
      </c>
      <c r="K53" s="89">
        <v>13.5</v>
      </c>
      <c r="L53" s="87"/>
      <c r="M53" s="87"/>
      <c r="N53" s="87"/>
      <c r="O53" s="89"/>
      <c r="P53" s="89"/>
      <c r="Q53" s="89">
        <v>1.5</v>
      </c>
      <c r="R53" s="87"/>
    </row>
    <row r="54" spans="1:18" x14ac:dyDescent="0.3">
      <c r="A54" s="87" t="s">
        <v>102</v>
      </c>
      <c r="B54" s="87">
        <v>100</v>
      </c>
      <c r="C54" s="87"/>
      <c r="D54" s="87"/>
      <c r="E54" s="87"/>
      <c r="F54" s="87"/>
      <c r="G54" s="87"/>
      <c r="H54" s="87"/>
      <c r="I54" s="87"/>
      <c r="J54" s="89">
        <v>3.5</v>
      </c>
      <c r="K54" s="89">
        <v>14</v>
      </c>
      <c r="L54" s="87"/>
      <c r="M54" s="87"/>
      <c r="N54" s="87"/>
      <c r="O54" s="89"/>
      <c r="P54" s="89"/>
      <c r="Q54" s="89">
        <v>1.5</v>
      </c>
      <c r="R54" s="87"/>
    </row>
    <row r="55" spans="1:18" x14ac:dyDescent="0.3">
      <c r="A55" s="87" t="s">
        <v>14</v>
      </c>
      <c r="B55" s="87">
        <v>88</v>
      </c>
      <c r="C55" s="87">
        <v>0.93</v>
      </c>
      <c r="D55" s="87">
        <v>0.91</v>
      </c>
      <c r="E55" s="87">
        <v>49</v>
      </c>
      <c r="F55" s="87">
        <v>127</v>
      </c>
      <c r="G55" s="87">
        <v>102</v>
      </c>
      <c r="H55" s="87">
        <v>219</v>
      </c>
      <c r="I55" s="87">
        <v>85</v>
      </c>
      <c r="J55" s="87">
        <v>6.8</v>
      </c>
      <c r="K55" s="87">
        <v>1.8</v>
      </c>
      <c r="L55" s="87">
        <v>6.3</v>
      </c>
      <c r="M55" s="87">
        <v>2</v>
      </c>
      <c r="N55" s="87">
        <v>205</v>
      </c>
      <c r="O55" s="89">
        <v>384</v>
      </c>
      <c r="P55" s="89">
        <v>3.1</v>
      </c>
      <c r="Q55" s="89">
        <v>3.9</v>
      </c>
      <c r="R55" s="87"/>
    </row>
    <row r="56" spans="1:18" x14ac:dyDescent="0.3">
      <c r="A56" s="87" t="s">
        <v>151</v>
      </c>
      <c r="B56" s="87">
        <v>42</v>
      </c>
      <c r="C56" s="87">
        <v>0.43</v>
      </c>
      <c r="D56" s="87">
        <v>0.43</v>
      </c>
      <c r="E56" s="87">
        <v>34.44</v>
      </c>
      <c r="F56" s="87">
        <v>61.32</v>
      </c>
      <c r="G56" s="87">
        <v>47.04</v>
      </c>
      <c r="H56" s="87">
        <v>207</v>
      </c>
      <c r="I56" s="87">
        <v>140</v>
      </c>
      <c r="J56" s="87">
        <v>3.5</v>
      </c>
      <c r="K56" s="87">
        <v>0.2</v>
      </c>
      <c r="L56" s="87"/>
      <c r="M56" s="87"/>
      <c r="N56" s="87">
        <v>150</v>
      </c>
      <c r="O56" s="89"/>
      <c r="P56" s="89">
        <v>4</v>
      </c>
      <c r="Q56" s="89"/>
      <c r="R56" s="87"/>
    </row>
    <row r="57" spans="1:18" x14ac:dyDescent="0.3">
      <c r="A57" s="87" t="s">
        <v>71</v>
      </c>
      <c r="B57" s="87">
        <v>89.5</v>
      </c>
      <c r="C57" s="87">
        <v>1.32</v>
      </c>
      <c r="D57" s="87">
        <v>1.32</v>
      </c>
      <c r="E57" s="87">
        <v>430</v>
      </c>
      <c r="F57" s="87">
        <v>503</v>
      </c>
      <c r="G57" s="87">
        <v>460</v>
      </c>
      <c r="H57" s="87">
        <v>677</v>
      </c>
      <c r="I57" s="87">
        <v>85</v>
      </c>
      <c r="J57" s="87">
        <v>3.7</v>
      </c>
      <c r="K57" s="87">
        <v>0.5</v>
      </c>
      <c r="L57" s="87"/>
      <c r="M57" s="87"/>
      <c r="N57" s="87">
        <v>192</v>
      </c>
      <c r="O57" s="89">
        <v>26</v>
      </c>
      <c r="P57" s="89">
        <v>2.8</v>
      </c>
      <c r="Q57" s="89">
        <v>0.4</v>
      </c>
      <c r="R57" s="87"/>
    </row>
    <row r="58" spans="1:18" x14ac:dyDescent="0.3">
      <c r="A58" s="87" t="s">
        <v>142</v>
      </c>
      <c r="B58" s="87">
        <v>38</v>
      </c>
      <c r="C58" s="87">
        <v>0.441</v>
      </c>
      <c r="D58" s="87">
        <v>0.43</v>
      </c>
      <c r="E58" s="87">
        <v>30.78</v>
      </c>
      <c r="F58" s="87">
        <v>81.7</v>
      </c>
      <c r="G58" s="87">
        <v>54.34</v>
      </c>
      <c r="H58" s="87">
        <v>32</v>
      </c>
      <c r="I58" s="87">
        <v>6.4</v>
      </c>
      <c r="J58" s="87"/>
      <c r="K58" s="87"/>
      <c r="L58" s="87"/>
      <c r="M58" s="87"/>
      <c r="N58" s="87">
        <v>96</v>
      </c>
      <c r="O58" s="89"/>
      <c r="P58" s="89">
        <v>4.3</v>
      </c>
      <c r="Q58" s="89"/>
      <c r="R58" s="87"/>
    </row>
    <row r="59" spans="1:18" x14ac:dyDescent="0.3">
      <c r="A59" s="87" t="s">
        <v>110</v>
      </c>
      <c r="B59" s="87">
        <v>91.9</v>
      </c>
      <c r="C59" s="87">
        <v>0.76</v>
      </c>
      <c r="D59" s="87">
        <v>0.67</v>
      </c>
      <c r="E59" s="87">
        <v>126</v>
      </c>
      <c r="F59" s="87">
        <v>178</v>
      </c>
      <c r="G59" s="87">
        <v>157</v>
      </c>
      <c r="H59" s="87">
        <v>262</v>
      </c>
      <c r="I59" s="87">
        <v>167</v>
      </c>
      <c r="J59" s="87">
        <v>4.9000000000000004</v>
      </c>
      <c r="K59" s="87">
        <v>1.3</v>
      </c>
      <c r="L59" s="87"/>
      <c r="M59" s="87"/>
      <c r="N59" s="87">
        <v>126</v>
      </c>
      <c r="O59" s="89">
        <v>574</v>
      </c>
      <c r="P59" s="89">
        <v>7.3</v>
      </c>
      <c r="Q59" s="89">
        <v>2.6</v>
      </c>
      <c r="R59" s="87"/>
    </row>
    <row r="60" spans="1:18" x14ac:dyDescent="0.3">
      <c r="A60" s="87" t="s">
        <v>138</v>
      </c>
      <c r="B60" s="88">
        <v>24</v>
      </c>
      <c r="C60" s="87">
        <v>0.23</v>
      </c>
      <c r="D60" s="87">
        <v>0.2</v>
      </c>
      <c r="E60" s="117">
        <v>37.44</v>
      </c>
      <c r="F60" s="87">
        <v>54</v>
      </c>
      <c r="G60" s="87">
        <v>45</v>
      </c>
      <c r="H60" s="87">
        <v>28</v>
      </c>
      <c r="I60" s="87">
        <v>150</v>
      </c>
      <c r="J60" s="87">
        <v>5</v>
      </c>
      <c r="K60" s="87">
        <v>3</v>
      </c>
      <c r="L60" s="87"/>
      <c r="M60" s="87"/>
      <c r="N60" s="87">
        <v>70</v>
      </c>
      <c r="O60" s="89">
        <v>563</v>
      </c>
      <c r="P60" s="89">
        <v>6.7</v>
      </c>
      <c r="Q60" s="89"/>
      <c r="R60" s="87"/>
    </row>
    <row r="61" spans="1:18" x14ac:dyDescent="0.3">
      <c r="A61" s="87" t="s">
        <v>101</v>
      </c>
      <c r="B61" s="87">
        <v>88.2</v>
      </c>
      <c r="C61" s="87">
        <v>0.97</v>
      </c>
      <c r="D61" s="87">
        <v>0.94</v>
      </c>
      <c r="E61" s="87">
        <v>108</v>
      </c>
      <c r="F61" s="87">
        <v>181</v>
      </c>
      <c r="G61" s="87">
        <v>154</v>
      </c>
      <c r="H61" s="87">
        <v>279</v>
      </c>
      <c r="I61" s="87">
        <v>83</v>
      </c>
      <c r="J61" s="87">
        <v>3.7</v>
      </c>
      <c r="K61" s="87">
        <v>0.5</v>
      </c>
      <c r="L61" s="87"/>
      <c r="M61" s="87"/>
      <c r="N61" s="87">
        <v>130</v>
      </c>
      <c r="O61" s="89">
        <v>356</v>
      </c>
      <c r="P61" s="89">
        <v>4.4000000000000004</v>
      </c>
      <c r="Q61" s="89">
        <v>3.2</v>
      </c>
      <c r="R61" s="87"/>
    </row>
    <row r="62" spans="1:18" x14ac:dyDescent="0.3">
      <c r="A62" s="87" t="s">
        <v>106</v>
      </c>
      <c r="B62" s="87">
        <v>91.4</v>
      </c>
      <c r="C62" s="87">
        <v>0.95</v>
      </c>
      <c r="D62" s="87">
        <v>0.9</v>
      </c>
      <c r="E62" s="87">
        <v>102</v>
      </c>
      <c r="F62" s="87">
        <v>228</v>
      </c>
      <c r="G62" s="87">
        <v>143</v>
      </c>
      <c r="H62" s="87">
        <v>376</v>
      </c>
      <c r="I62" s="87">
        <v>102</v>
      </c>
      <c r="J62" s="87">
        <v>5.4</v>
      </c>
      <c r="K62" s="87">
        <v>2</v>
      </c>
      <c r="L62" s="87">
        <v>5.6</v>
      </c>
      <c r="M62" s="87">
        <v>2</v>
      </c>
      <c r="N62" s="87">
        <v>42</v>
      </c>
      <c r="O62" s="89">
        <v>422</v>
      </c>
      <c r="P62" s="89">
        <v>7.2</v>
      </c>
      <c r="Q62" s="89">
        <v>3</v>
      </c>
      <c r="R62" s="87"/>
    </row>
    <row r="63" spans="1:18" x14ac:dyDescent="0.3">
      <c r="A63" s="87" t="s">
        <v>16</v>
      </c>
      <c r="B63" s="88">
        <v>91.4</v>
      </c>
      <c r="C63" s="88">
        <v>1.04</v>
      </c>
      <c r="D63" s="88">
        <v>1.01</v>
      </c>
      <c r="E63" s="88">
        <v>63</v>
      </c>
      <c r="F63" s="88">
        <v>187</v>
      </c>
      <c r="G63" s="88">
        <v>118</v>
      </c>
      <c r="H63" s="88">
        <v>316</v>
      </c>
      <c r="I63" s="88">
        <v>61</v>
      </c>
      <c r="J63" s="88">
        <v>6.4</v>
      </c>
      <c r="K63" s="88">
        <v>1.2</v>
      </c>
      <c r="L63" s="88"/>
      <c r="M63" s="88"/>
      <c r="N63" s="88">
        <v>138</v>
      </c>
      <c r="O63" s="89">
        <v>276</v>
      </c>
      <c r="P63" s="89">
        <v>5.6</v>
      </c>
      <c r="Q63" s="88">
        <v>3</v>
      </c>
      <c r="R63" s="87"/>
    </row>
    <row r="64" spans="1:18" x14ac:dyDescent="0.3">
      <c r="A64" s="87" t="s">
        <v>150</v>
      </c>
      <c r="B64" s="88">
        <v>89</v>
      </c>
      <c r="C64" s="88">
        <v>1.1200000000000001</v>
      </c>
      <c r="D64" s="88">
        <v>1.1000000000000001</v>
      </c>
      <c r="E64" s="88">
        <v>104.13</v>
      </c>
      <c r="F64" s="88">
        <v>178.89</v>
      </c>
      <c r="G64" s="88">
        <v>142.4</v>
      </c>
      <c r="H64" s="88">
        <v>29</v>
      </c>
      <c r="I64" s="88">
        <v>72</v>
      </c>
      <c r="J64" s="88">
        <v>4.5</v>
      </c>
      <c r="K64" s="88">
        <v>0.3</v>
      </c>
      <c r="L64" s="88"/>
      <c r="M64" s="88"/>
      <c r="N64" s="88"/>
      <c r="O64" s="89"/>
      <c r="P64" s="89"/>
      <c r="Q64" s="88">
        <v>15.3</v>
      </c>
      <c r="R64" s="87"/>
    </row>
    <row r="65" spans="1:18" x14ac:dyDescent="0.3">
      <c r="A65" s="87" t="s">
        <v>99</v>
      </c>
      <c r="B65" s="87">
        <v>87.5</v>
      </c>
      <c r="C65" s="87">
        <v>0.85</v>
      </c>
      <c r="D65" s="87"/>
      <c r="E65" s="87">
        <v>21</v>
      </c>
      <c r="F65" s="87">
        <v>66</v>
      </c>
      <c r="G65" s="87">
        <v>82</v>
      </c>
      <c r="H65" s="117">
        <v>103.9</v>
      </c>
      <c r="I65" s="87">
        <v>127</v>
      </c>
      <c r="J65" s="87">
        <v>3.4</v>
      </c>
      <c r="K65" s="87">
        <v>0.7</v>
      </c>
      <c r="L65" s="87"/>
      <c r="M65" s="87"/>
      <c r="N65" s="87">
        <v>312</v>
      </c>
      <c r="O65" s="89"/>
      <c r="P65" s="89">
        <v>1.7</v>
      </c>
      <c r="Q65" s="89">
        <v>1.1000000000000001</v>
      </c>
      <c r="R65" s="87"/>
    </row>
    <row r="66" spans="1:18" x14ac:dyDescent="0.3">
      <c r="A66" s="87" t="s">
        <v>145</v>
      </c>
      <c r="B66" s="87">
        <v>92</v>
      </c>
      <c r="C66" s="87">
        <v>1.1499999999999999</v>
      </c>
      <c r="D66" s="87">
        <v>1.1399999999999999</v>
      </c>
      <c r="E66" s="87">
        <v>23.92</v>
      </c>
      <c r="F66" s="87">
        <v>61.6</v>
      </c>
      <c r="G66" s="87">
        <v>81.900000000000006</v>
      </c>
      <c r="H66" s="117">
        <v>11</v>
      </c>
      <c r="I66" s="87">
        <v>35</v>
      </c>
      <c r="J66" s="87">
        <v>0.5</v>
      </c>
      <c r="K66" s="87">
        <v>1</v>
      </c>
      <c r="L66" s="87"/>
      <c r="M66" s="87"/>
      <c r="N66" s="87">
        <v>390</v>
      </c>
      <c r="O66" s="89"/>
      <c r="P66" s="89">
        <v>13</v>
      </c>
      <c r="Q66" s="89"/>
      <c r="R66" s="87"/>
    </row>
    <row r="67" spans="1:18" ht="13.2" customHeight="1" x14ac:dyDescent="0.3">
      <c r="A67" s="87" t="s">
        <v>74</v>
      </c>
      <c r="B67" s="87">
        <v>87.3</v>
      </c>
      <c r="C67" s="87">
        <v>1.06</v>
      </c>
      <c r="D67" s="87">
        <v>1.06</v>
      </c>
      <c r="E67" s="87">
        <v>48</v>
      </c>
      <c r="F67" s="87">
        <v>67</v>
      </c>
      <c r="G67" s="87">
        <v>83</v>
      </c>
      <c r="H67" s="87">
        <v>103</v>
      </c>
      <c r="I67" s="87">
        <v>66</v>
      </c>
      <c r="J67" s="87">
        <v>4</v>
      </c>
      <c r="K67" s="87">
        <v>0.8</v>
      </c>
      <c r="L67" s="87"/>
      <c r="M67" s="87"/>
      <c r="N67" s="87">
        <v>522</v>
      </c>
      <c r="O67" s="89">
        <v>293</v>
      </c>
      <c r="P67" s="89">
        <v>6.2</v>
      </c>
      <c r="Q67" s="89">
        <v>1.5</v>
      </c>
      <c r="R67" s="87"/>
    </row>
    <row r="68" spans="1:18" x14ac:dyDescent="0.3">
      <c r="A68" s="87" t="s">
        <v>79</v>
      </c>
      <c r="B68" s="87">
        <v>86.1</v>
      </c>
      <c r="C68" s="87">
        <v>1.03</v>
      </c>
      <c r="D68" s="87">
        <v>1.03</v>
      </c>
      <c r="E68" s="87">
        <v>45</v>
      </c>
      <c r="F68" s="87">
        <v>170</v>
      </c>
      <c r="G68" s="87">
        <v>97</v>
      </c>
      <c r="H68" s="87">
        <v>311</v>
      </c>
      <c r="I68" s="87">
        <v>87</v>
      </c>
      <c r="J68" s="87">
        <v>4.0999999999999996</v>
      </c>
      <c r="K68" s="87">
        <v>0.9</v>
      </c>
      <c r="L68" s="87"/>
      <c r="M68" s="87"/>
      <c r="N68" s="87">
        <v>433</v>
      </c>
      <c r="O68" s="89">
        <v>160</v>
      </c>
      <c r="P68" s="89">
        <v>1.3</v>
      </c>
      <c r="Q68" s="89">
        <v>2</v>
      </c>
      <c r="R68" s="87"/>
    </row>
    <row r="69" spans="1:18" x14ac:dyDescent="0.3">
      <c r="A69" s="87" t="s">
        <v>87</v>
      </c>
      <c r="B69" s="87">
        <v>92</v>
      </c>
      <c r="C69" s="87">
        <v>1.1100000000000001</v>
      </c>
      <c r="D69" s="87">
        <v>1.1100000000000001</v>
      </c>
      <c r="E69" s="87">
        <v>141</v>
      </c>
      <c r="F69" s="87">
        <v>214</v>
      </c>
      <c r="G69" s="87">
        <v>190</v>
      </c>
      <c r="H69" s="87">
        <v>294</v>
      </c>
      <c r="I69" s="87">
        <v>91</v>
      </c>
      <c r="J69" s="87">
        <v>3.9</v>
      </c>
      <c r="K69" s="87">
        <v>0.9</v>
      </c>
      <c r="L69" s="87"/>
      <c r="M69" s="87"/>
      <c r="N69" s="87">
        <v>442</v>
      </c>
      <c r="O69" s="89">
        <v>161</v>
      </c>
      <c r="P69" s="89">
        <v>1.5</v>
      </c>
      <c r="Q69" s="89">
        <v>1.9</v>
      </c>
      <c r="R69" s="87"/>
    </row>
    <row r="70" spans="1:18" x14ac:dyDescent="0.3">
      <c r="A70" s="87" t="s">
        <v>88</v>
      </c>
      <c r="B70" s="87">
        <v>91.5</v>
      </c>
      <c r="C70" s="118">
        <v>1.1000000000000001</v>
      </c>
      <c r="D70" s="118">
        <v>1.1000000000000001</v>
      </c>
      <c r="E70" s="87">
        <v>102</v>
      </c>
      <c r="F70" s="87">
        <v>197</v>
      </c>
      <c r="G70" s="87">
        <v>154</v>
      </c>
      <c r="H70" s="87">
        <v>234</v>
      </c>
      <c r="I70" s="87">
        <v>91</v>
      </c>
      <c r="J70" s="87">
        <v>2.9</v>
      </c>
      <c r="K70" s="87">
        <v>0.9</v>
      </c>
      <c r="L70" s="87"/>
      <c r="M70" s="87"/>
      <c r="N70" s="87">
        <v>442</v>
      </c>
      <c r="O70" s="89">
        <v>161</v>
      </c>
      <c r="P70" s="89">
        <v>1.5</v>
      </c>
      <c r="Q70" s="89">
        <v>1.9</v>
      </c>
      <c r="R70" s="87"/>
    </row>
    <row r="71" spans="1:18" x14ac:dyDescent="0.3">
      <c r="A71" s="87" t="s">
        <v>96</v>
      </c>
      <c r="B71" s="87">
        <v>85</v>
      </c>
      <c r="C71" s="87">
        <v>0.53</v>
      </c>
      <c r="D71" s="87">
        <v>0.48</v>
      </c>
      <c r="E71" s="87">
        <v>39</v>
      </c>
      <c r="F71" s="87">
        <v>97</v>
      </c>
      <c r="G71" s="87">
        <v>77</v>
      </c>
      <c r="H71" s="87">
        <v>170</v>
      </c>
      <c r="I71" s="87">
        <v>361</v>
      </c>
      <c r="J71" s="89">
        <v>1.3</v>
      </c>
      <c r="K71" s="87">
        <v>3.3</v>
      </c>
      <c r="L71" s="87"/>
      <c r="M71" s="87"/>
      <c r="N71" s="87"/>
      <c r="O71" s="87">
        <v>555</v>
      </c>
      <c r="P71" s="87"/>
      <c r="Q71" s="87"/>
      <c r="R71" s="87"/>
    </row>
    <row r="72" spans="1:18" x14ac:dyDescent="0.3">
      <c r="A72" s="87" t="s">
        <v>94</v>
      </c>
      <c r="B72" s="87">
        <v>85</v>
      </c>
      <c r="C72" s="87">
        <v>0.61</v>
      </c>
      <c r="D72" s="87">
        <v>0.54</v>
      </c>
      <c r="E72" s="87">
        <v>28</v>
      </c>
      <c r="F72" s="87">
        <v>59</v>
      </c>
      <c r="G72" s="87">
        <v>69</v>
      </c>
      <c r="H72" s="87">
        <v>104</v>
      </c>
      <c r="I72" s="87">
        <v>333</v>
      </c>
      <c r="J72" s="87"/>
      <c r="K72" s="87"/>
      <c r="L72" s="87"/>
      <c r="M72" s="87"/>
      <c r="N72" s="87"/>
      <c r="O72" s="87">
        <v>628</v>
      </c>
      <c r="P72" s="87"/>
      <c r="Q72" s="89">
        <v>2</v>
      </c>
      <c r="R72" s="87"/>
    </row>
    <row r="73" spans="1:18" x14ac:dyDescent="0.3">
      <c r="A73" s="87" t="s">
        <v>75</v>
      </c>
      <c r="B73" s="87">
        <v>87.9</v>
      </c>
      <c r="C73" s="87">
        <v>0.95</v>
      </c>
      <c r="D73" s="87">
        <v>0.93</v>
      </c>
      <c r="E73" s="87">
        <v>33</v>
      </c>
      <c r="F73" s="87">
        <v>96</v>
      </c>
      <c r="G73" s="87">
        <v>85</v>
      </c>
      <c r="H73" s="87">
        <v>163</v>
      </c>
      <c r="I73" s="87">
        <v>62</v>
      </c>
      <c r="J73" s="87">
        <v>5.9</v>
      </c>
      <c r="K73" s="87">
        <v>0.7</v>
      </c>
      <c r="L73" s="87"/>
      <c r="M73" s="87"/>
      <c r="N73" s="87">
        <v>274</v>
      </c>
      <c r="O73" s="89">
        <v>317</v>
      </c>
      <c r="P73" s="89">
        <v>4.4000000000000004</v>
      </c>
      <c r="Q73" s="89">
        <v>3.2</v>
      </c>
      <c r="R73" s="87"/>
    </row>
    <row r="74" spans="1:18" x14ac:dyDescent="0.3">
      <c r="A74" s="87" t="s">
        <v>76</v>
      </c>
      <c r="B74" s="87">
        <v>90.6</v>
      </c>
      <c r="C74" s="87">
        <v>0.94</v>
      </c>
      <c r="D74" s="87">
        <v>0.85</v>
      </c>
      <c r="E74" s="87">
        <v>48</v>
      </c>
      <c r="F74" s="87">
        <v>131</v>
      </c>
      <c r="G74" s="87">
        <v>77</v>
      </c>
      <c r="H74" s="87">
        <v>234</v>
      </c>
      <c r="I74" s="87">
        <v>259</v>
      </c>
      <c r="J74" s="87">
        <v>5.0999999999999996</v>
      </c>
      <c r="K74" s="87">
        <v>1</v>
      </c>
      <c r="L74" s="87"/>
      <c r="M74" s="87"/>
      <c r="N74" s="87">
        <v>0</v>
      </c>
      <c r="O74" s="89">
        <v>423</v>
      </c>
      <c r="P74" s="89">
        <v>21.1</v>
      </c>
      <c r="Q74" s="89">
        <v>3.6</v>
      </c>
      <c r="R74" s="87"/>
    </row>
    <row r="75" spans="1:18" x14ac:dyDescent="0.3">
      <c r="A75" s="87" t="s">
        <v>77</v>
      </c>
      <c r="B75" s="87">
        <v>88.6</v>
      </c>
      <c r="C75" s="87">
        <v>1.3</v>
      </c>
      <c r="D75" s="87">
        <v>1.3</v>
      </c>
      <c r="E75" s="87">
        <v>118</v>
      </c>
      <c r="F75" s="87">
        <v>238</v>
      </c>
      <c r="G75" s="87">
        <v>157</v>
      </c>
      <c r="H75" s="87">
        <v>397</v>
      </c>
      <c r="I75" s="87">
        <v>64</v>
      </c>
      <c r="J75" s="87">
        <v>4.4000000000000004</v>
      </c>
      <c r="K75" s="87">
        <v>2</v>
      </c>
      <c r="L75" s="87"/>
      <c r="M75" s="87"/>
      <c r="N75" s="87">
        <v>0</v>
      </c>
      <c r="O75" s="89">
        <v>132</v>
      </c>
      <c r="P75" s="89">
        <v>0</v>
      </c>
      <c r="Q75" s="89">
        <v>2.6</v>
      </c>
      <c r="R75" s="87"/>
    </row>
    <row r="76" spans="1:18" x14ac:dyDescent="0.3">
      <c r="A76" s="87" t="s">
        <v>80</v>
      </c>
      <c r="B76" s="87">
        <v>88.6</v>
      </c>
      <c r="C76" s="87">
        <v>1.18</v>
      </c>
      <c r="D76" s="87">
        <v>1.18</v>
      </c>
      <c r="E76" s="87">
        <v>47</v>
      </c>
      <c r="F76" s="87">
        <v>213</v>
      </c>
      <c r="G76" s="87">
        <v>106</v>
      </c>
      <c r="H76" s="87">
        <v>340</v>
      </c>
      <c r="I76" s="87">
        <v>128</v>
      </c>
      <c r="J76" s="87">
        <v>3.2</v>
      </c>
      <c r="K76" s="87">
        <v>2.1</v>
      </c>
      <c r="L76" s="87"/>
      <c r="M76" s="87"/>
      <c r="N76" s="87">
        <v>0</v>
      </c>
      <c r="O76" s="89">
        <v>214</v>
      </c>
      <c r="P76" s="89">
        <v>5.9</v>
      </c>
      <c r="Q76" s="89">
        <v>1.9</v>
      </c>
      <c r="R76" s="87"/>
    </row>
    <row r="77" spans="1:18" x14ac:dyDescent="0.3">
      <c r="A77" s="87" t="s">
        <v>89</v>
      </c>
      <c r="B77" s="87">
        <v>93.6</v>
      </c>
      <c r="C77" s="87">
        <v>1.17</v>
      </c>
      <c r="D77" s="87">
        <v>1.1599999999999999</v>
      </c>
      <c r="E77" s="87">
        <v>155</v>
      </c>
      <c r="F77" s="87">
        <v>249</v>
      </c>
      <c r="G77" s="87">
        <v>212</v>
      </c>
      <c r="H77" s="87">
        <v>340</v>
      </c>
      <c r="I77" s="87">
        <v>165</v>
      </c>
      <c r="J77" s="87">
        <v>3</v>
      </c>
      <c r="K77" s="87">
        <v>2</v>
      </c>
      <c r="L77" s="87"/>
      <c r="M77" s="87"/>
      <c r="N77" s="87">
        <v>0</v>
      </c>
      <c r="O77" s="89">
        <v>247</v>
      </c>
      <c r="P77" s="89">
        <v>5.9</v>
      </c>
      <c r="Q77" s="89">
        <v>1.9</v>
      </c>
      <c r="R77" s="87"/>
    </row>
    <row r="78" spans="1:18" x14ac:dyDescent="0.3">
      <c r="A78" s="87" t="s">
        <v>108</v>
      </c>
      <c r="B78" s="87">
        <v>91.4</v>
      </c>
      <c r="C78" s="87">
        <v>0.6</v>
      </c>
      <c r="D78" s="87">
        <v>0.51</v>
      </c>
      <c r="E78" s="87">
        <v>43</v>
      </c>
      <c r="F78" s="87">
        <v>87</v>
      </c>
      <c r="G78" s="87">
        <v>81</v>
      </c>
      <c r="H78" s="87">
        <v>151</v>
      </c>
      <c r="I78" s="87">
        <v>320</v>
      </c>
      <c r="J78" s="87">
        <v>1.9</v>
      </c>
      <c r="K78" s="87">
        <v>6.1</v>
      </c>
      <c r="L78" s="87">
        <v>6.65</v>
      </c>
      <c r="M78" s="87">
        <v>1.62</v>
      </c>
      <c r="N78" s="87">
        <v>0</v>
      </c>
      <c r="O78" s="89">
        <v>503</v>
      </c>
      <c r="P78" s="89">
        <v>2.4</v>
      </c>
      <c r="Q78" s="89">
        <v>1.6</v>
      </c>
      <c r="R78" s="87"/>
    </row>
    <row r="79" spans="1:18" x14ac:dyDescent="0.3">
      <c r="A79" s="87" t="s">
        <v>107</v>
      </c>
      <c r="B79" s="87">
        <v>90.6</v>
      </c>
      <c r="C79" s="87">
        <v>0.63</v>
      </c>
      <c r="D79" s="87">
        <v>0.55000000000000004</v>
      </c>
      <c r="E79" s="87">
        <v>56</v>
      </c>
      <c r="F79" s="87">
        <v>109</v>
      </c>
      <c r="G79" s="87">
        <v>94</v>
      </c>
      <c r="H79" s="87">
        <v>184</v>
      </c>
      <c r="I79" s="87">
        <v>283</v>
      </c>
      <c r="J79" s="87">
        <v>2.2000000000000002</v>
      </c>
      <c r="K79" s="87">
        <v>6.7</v>
      </c>
      <c r="L79" s="87">
        <v>6.64</v>
      </c>
      <c r="M79" s="87">
        <v>1.61</v>
      </c>
      <c r="N79" s="87">
        <v>0</v>
      </c>
      <c r="O79" s="89">
        <v>461</v>
      </c>
      <c r="P79" s="89">
        <v>2.8</v>
      </c>
      <c r="Q79" s="89">
        <v>1.7</v>
      </c>
      <c r="R79" s="87"/>
    </row>
    <row r="80" spans="1:18" x14ac:dyDescent="0.3">
      <c r="A80" s="87" t="s">
        <v>17</v>
      </c>
      <c r="B80" s="87">
        <v>89.8</v>
      </c>
      <c r="C80" s="87">
        <v>0.7</v>
      </c>
      <c r="D80" s="87">
        <v>0.64</v>
      </c>
      <c r="E80" s="87">
        <v>74</v>
      </c>
      <c r="F80" s="87">
        <v>141</v>
      </c>
      <c r="G80" s="87">
        <v>114</v>
      </c>
      <c r="H80" s="87">
        <v>233</v>
      </c>
      <c r="I80" s="87">
        <v>211</v>
      </c>
      <c r="J80" s="87">
        <v>2</v>
      </c>
      <c r="K80" s="87">
        <v>7.6</v>
      </c>
      <c r="L80" s="87">
        <v>6.62</v>
      </c>
      <c r="M80" s="87">
        <v>1.59</v>
      </c>
      <c r="N80" s="87">
        <v>0</v>
      </c>
      <c r="O80" s="89">
        <v>379</v>
      </c>
      <c r="P80" s="89">
        <v>3.4</v>
      </c>
      <c r="Q80" s="89">
        <v>1.9</v>
      </c>
      <c r="R80" s="87"/>
    </row>
    <row r="81" spans="1:18" x14ac:dyDescent="0.3">
      <c r="A81" s="87" t="s">
        <v>12</v>
      </c>
      <c r="B81" s="87">
        <v>86.4</v>
      </c>
      <c r="C81" s="87">
        <v>1.06</v>
      </c>
      <c r="D81" s="87">
        <v>1.06</v>
      </c>
      <c r="E81" s="87">
        <v>46</v>
      </c>
      <c r="F81" s="87">
        <v>64</v>
      </c>
      <c r="G81" s="87">
        <v>84</v>
      </c>
      <c r="H81" s="87">
        <v>94</v>
      </c>
      <c r="I81" s="87">
        <v>25</v>
      </c>
      <c r="J81" s="87">
        <v>2.2000000000000002</v>
      </c>
      <c r="K81" s="87">
        <v>0.5</v>
      </c>
      <c r="L81" s="87">
        <v>5.7</v>
      </c>
      <c r="M81" s="87">
        <v>1.9</v>
      </c>
      <c r="N81" s="87">
        <v>742</v>
      </c>
      <c r="O81" s="89">
        <v>120</v>
      </c>
      <c r="P81" s="89">
        <v>4.3</v>
      </c>
      <c r="Q81" s="89">
        <v>1.2</v>
      </c>
      <c r="R81" s="87"/>
    </row>
    <row r="82" spans="1:18" x14ac:dyDescent="0.3">
      <c r="A82" s="87" t="s">
        <v>86</v>
      </c>
      <c r="B82" s="87">
        <v>88.3</v>
      </c>
      <c r="C82" s="87">
        <v>1.08</v>
      </c>
      <c r="D82" s="87">
        <v>109</v>
      </c>
      <c r="E82" s="87">
        <v>56</v>
      </c>
      <c r="F82" s="87">
        <v>68</v>
      </c>
      <c r="G82" s="87">
        <v>93</v>
      </c>
      <c r="H82" s="87">
        <v>94</v>
      </c>
      <c r="I82" s="87">
        <v>25</v>
      </c>
      <c r="J82" s="87">
        <v>2.2000000000000002</v>
      </c>
      <c r="K82" s="87">
        <v>0.3</v>
      </c>
      <c r="L82" s="87"/>
      <c r="M82" s="87"/>
      <c r="N82" s="87">
        <v>742</v>
      </c>
      <c r="O82" s="89">
        <v>120</v>
      </c>
      <c r="P82" s="89">
        <v>4.3</v>
      </c>
      <c r="Q82" s="89">
        <v>1.2</v>
      </c>
      <c r="R82" s="87"/>
    </row>
    <row r="83" spans="1:18" x14ac:dyDescent="0.3">
      <c r="A83" s="87" t="s">
        <v>84</v>
      </c>
      <c r="B83" s="87">
        <v>88.3</v>
      </c>
      <c r="C83" s="87">
        <v>0.79</v>
      </c>
      <c r="D83" s="87">
        <v>0.8</v>
      </c>
      <c r="E83" s="87">
        <v>16</v>
      </c>
      <c r="F83" s="87">
        <v>41</v>
      </c>
      <c r="G83" s="87">
        <v>45</v>
      </c>
      <c r="H83" s="87">
        <v>94</v>
      </c>
      <c r="I83" s="87">
        <v>25</v>
      </c>
      <c r="J83" s="87">
        <v>2.2000000000000002</v>
      </c>
      <c r="K83" s="87">
        <v>0.3</v>
      </c>
      <c r="L83" s="87"/>
      <c r="M83" s="87"/>
      <c r="N83" s="87">
        <v>742</v>
      </c>
      <c r="O83" s="89">
        <v>120</v>
      </c>
      <c r="P83" s="89">
        <v>4.3</v>
      </c>
      <c r="Q83" s="89">
        <v>1.2</v>
      </c>
      <c r="R83" s="87"/>
    </row>
    <row r="84" spans="1:18" x14ac:dyDescent="0.3">
      <c r="A84" s="87" t="s">
        <v>85</v>
      </c>
      <c r="B84" s="87">
        <v>93.8</v>
      </c>
      <c r="C84" s="87">
        <v>1.1499999999999999</v>
      </c>
      <c r="D84" s="87">
        <v>1.1499999999999999</v>
      </c>
      <c r="E84" s="87">
        <v>63</v>
      </c>
      <c r="F84" s="87">
        <v>73</v>
      </c>
      <c r="G84" s="87">
        <v>103</v>
      </c>
      <c r="H84" s="87">
        <v>94</v>
      </c>
      <c r="I84" s="87">
        <v>25</v>
      </c>
      <c r="J84" s="87">
        <v>2.2000000000000002</v>
      </c>
      <c r="K84" s="87">
        <v>0.3</v>
      </c>
      <c r="L84" s="87"/>
      <c r="M84" s="87"/>
      <c r="N84" s="87">
        <v>742</v>
      </c>
      <c r="O84" s="89">
        <v>120</v>
      </c>
      <c r="P84" s="89">
        <v>4.3</v>
      </c>
      <c r="Q84" s="89">
        <v>1.2</v>
      </c>
      <c r="R84" s="87"/>
    </row>
    <row r="85" spans="1:18" s="2" customFormat="1" ht="17.399999999999999" customHeight="1" x14ac:dyDescent="0.3">
      <c r="A85" s="87" t="s">
        <v>83</v>
      </c>
      <c r="B85" s="87">
        <v>73.7</v>
      </c>
      <c r="C85" s="87">
        <v>0.63</v>
      </c>
      <c r="D85" s="88">
        <v>0.62</v>
      </c>
      <c r="E85" s="88">
        <v>0</v>
      </c>
      <c r="F85" s="88">
        <v>23</v>
      </c>
      <c r="G85" s="88">
        <v>46</v>
      </c>
      <c r="H85" s="88">
        <v>55</v>
      </c>
      <c r="I85" s="88">
        <v>0</v>
      </c>
      <c r="J85" s="89">
        <v>0.7</v>
      </c>
      <c r="K85" s="89">
        <v>4</v>
      </c>
      <c r="L85" s="89"/>
      <c r="M85" s="89"/>
      <c r="N85" s="89">
        <v>0</v>
      </c>
      <c r="O85" s="87"/>
      <c r="P85" s="87"/>
      <c r="Q85" s="89">
        <v>0.6</v>
      </c>
      <c r="R85" s="88"/>
    </row>
    <row r="86" spans="1:18" ht="17.399999999999999" customHeight="1" x14ac:dyDescent="0.3">
      <c r="A86" s="87" t="s">
        <v>27</v>
      </c>
      <c r="B86" s="87">
        <v>86.9</v>
      </c>
      <c r="C86" s="87">
        <v>0.95</v>
      </c>
      <c r="D86" s="87">
        <v>0.93</v>
      </c>
      <c r="E86" s="87">
        <v>30</v>
      </c>
      <c r="F86" s="87">
        <v>69</v>
      </c>
      <c r="G86" s="87">
        <v>87</v>
      </c>
      <c r="H86" s="87">
        <v>116</v>
      </c>
      <c r="I86" s="87">
        <v>50</v>
      </c>
      <c r="J86" s="87">
        <v>3</v>
      </c>
      <c r="K86" s="87">
        <v>0.7</v>
      </c>
      <c r="L86" s="87">
        <v>6.83</v>
      </c>
      <c r="M86" s="87">
        <v>1.88</v>
      </c>
      <c r="N86" s="88">
        <v>602</v>
      </c>
      <c r="O86" s="89">
        <v>216</v>
      </c>
      <c r="P86" s="89">
        <v>2.1</v>
      </c>
      <c r="Q86" s="89">
        <v>1.3</v>
      </c>
      <c r="R86" s="87"/>
    </row>
    <row r="87" spans="1:18" ht="17.399999999999999" customHeight="1" x14ac:dyDescent="0.3">
      <c r="A87" s="87" t="s">
        <v>91</v>
      </c>
      <c r="B87" s="87">
        <v>94.3</v>
      </c>
      <c r="C87" s="87">
        <v>1.03</v>
      </c>
      <c r="D87" s="87">
        <v>1.02</v>
      </c>
      <c r="E87" s="87">
        <v>48</v>
      </c>
      <c r="F87" s="87">
        <v>80</v>
      </c>
      <c r="G87" s="87">
        <v>109</v>
      </c>
      <c r="H87" s="87">
        <v>94</v>
      </c>
      <c r="I87" s="87">
        <v>25</v>
      </c>
      <c r="J87" s="87">
        <v>2.2000000000000002</v>
      </c>
      <c r="K87" s="87">
        <v>0.3</v>
      </c>
      <c r="L87" s="87"/>
      <c r="M87" s="87"/>
      <c r="N87" s="88">
        <v>601</v>
      </c>
      <c r="O87" s="89">
        <v>216</v>
      </c>
      <c r="P87" s="89">
        <v>2.1</v>
      </c>
      <c r="Q87" s="89">
        <v>1.3</v>
      </c>
      <c r="R87" s="87"/>
    </row>
    <row r="88" spans="1:18" ht="17.399999999999999" customHeight="1" x14ac:dyDescent="0.3">
      <c r="A88" s="87" t="s">
        <v>132</v>
      </c>
      <c r="B88" s="87">
        <v>100</v>
      </c>
      <c r="C88" s="87"/>
      <c r="D88" s="87"/>
      <c r="E88" s="87"/>
      <c r="F88" s="87"/>
      <c r="G88" s="87"/>
      <c r="H88" s="87"/>
      <c r="I88" s="87"/>
      <c r="J88" s="89"/>
      <c r="K88" s="87"/>
      <c r="L88" s="87"/>
      <c r="M88" s="87"/>
      <c r="N88" s="87"/>
      <c r="O88" s="87"/>
      <c r="P88" s="87"/>
      <c r="Q88" s="89">
        <v>400</v>
      </c>
      <c r="R88" s="87"/>
    </row>
    <row r="89" spans="1:18" ht="17.399999999999999" customHeight="1" x14ac:dyDescent="0.3">
      <c r="A89" s="87" t="s">
        <v>127</v>
      </c>
      <c r="B89" s="87">
        <v>88</v>
      </c>
      <c r="C89" s="87">
        <v>0.37</v>
      </c>
      <c r="D89" s="87">
        <v>0.27</v>
      </c>
      <c r="E89" s="87">
        <v>11</v>
      </c>
      <c r="F89" s="87">
        <v>19</v>
      </c>
      <c r="G89" s="87">
        <v>39</v>
      </c>
      <c r="H89" s="87">
        <v>35</v>
      </c>
      <c r="I89" s="87">
        <v>420</v>
      </c>
      <c r="J89" s="89">
        <v>0.5</v>
      </c>
      <c r="K89" s="89">
        <v>0.8</v>
      </c>
      <c r="L89" s="87"/>
      <c r="M89" s="87"/>
      <c r="N89" s="87"/>
      <c r="O89" s="87">
        <v>798</v>
      </c>
      <c r="P89" s="87"/>
      <c r="Q89" s="89">
        <v>1</v>
      </c>
      <c r="R89" s="87"/>
    </row>
    <row r="90" spans="1:18" ht="17.399999999999999" customHeight="1" x14ac:dyDescent="0.3">
      <c r="A90" s="87" t="s">
        <v>129</v>
      </c>
      <c r="B90" s="87">
        <v>86</v>
      </c>
      <c r="C90" s="87">
        <v>0.46</v>
      </c>
      <c r="D90" s="87">
        <v>0.36</v>
      </c>
      <c r="E90" s="87">
        <v>18</v>
      </c>
      <c r="F90" s="87">
        <v>36</v>
      </c>
      <c r="G90" s="87">
        <v>52</v>
      </c>
      <c r="H90" s="87">
        <v>48</v>
      </c>
      <c r="I90" s="87">
        <v>337</v>
      </c>
      <c r="J90" s="89">
        <v>0.5</v>
      </c>
      <c r="K90" s="89">
        <v>2</v>
      </c>
      <c r="L90" s="87"/>
      <c r="M90" s="87"/>
      <c r="N90" s="87"/>
      <c r="O90" s="87"/>
      <c r="P90" s="87"/>
      <c r="Q90" s="89">
        <v>1</v>
      </c>
      <c r="R90" s="87"/>
    </row>
    <row r="91" spans="1:18" ht="17.399999999999999" customHeight="1" x14ac:dyDescent="0.3">
      <c r="A91" s="87" t="s">
        <v>128</v>
      </c>
      <c r="B91" s="87">
        <v>88</v>
      </c>
      <c r="C91" s="87">
        <v>0.39</v>
      </c>
      <c r="D91" s="87">
        <v>0.28999999999999998</v>
      </c>
      <c r="E91" s="87">
        <v>11</v>
      </c>
      <c r="F91" s="87">
        <v>21</v>
      </c>
      <c r="G91" s="87">
        <v>40</v>
      </c>
      <c r="H91" s="87">
        <v>38</v>
      </c>
      <c r="I91" s="87">
        <v>420</v>
      </c>
      <c r="J91" s="89">
        <v>0.5</v>
      </c>
      <c r="K91" s="89">
        <v>1.4</v>
      </c>
      <c r="L91" s="87"/>
      <c r="M91" s="87"/>
      <c r="N91" s="87"/>
      <c r="O91" s="87">
        <v>798</v>
      </c>
      <c r="P91" s="87"/>
      <c r="Q91" s="89">
        <v>1</v>
      </c>
      <c r="R91" s="87"/>
    </row>
    <row r="92" spans="1:18" ht="17.399999999999999" customHeight="1" x14ac:dyDescent="0.3">
      <c r="A92" s="87" t="s">
        <v>78</v>
      </c>
      <c r="B92" s="87">
        <v>86.4</v>
      </c>
      <c r="C92" s="87">
        <v>1.04</v>
      </c>
      <c r="D92" s="87">
        <v>1.05</v>
      </c>
      <c r="E92" s="87">
        <v>29</v>
      </c>
      <c r="F92" s="87">
        <v>130</v>
      </c>
      <c r="G92" s="87">
        <v>83</v>
      </c>
      <c r="H92" s="87">
        <v>239</v>
      </c>
      <c r="I92" s="87">
        <v>60</v>
      </c>
      <c r="J92" s="87">
        <v>3.4</v>
      </c>
      <c r="K92" s="87">
        <v>1.7</v>
      </c>
      <c r="L92" s="87"/>
      <c r="M92" s="87"/>
      <c r="N92" s="87">
        <v>516</v>
      </c>
      <c r="O92" s="89">
        <v>139</v>
      </c>
      <c r="P92" s="89">
        <v>1.2</v>
      </c>
      <c r="Q92" s="89">
        <v>1.7</v>
      </c>
      <c r="R92" s="87"/>
    </row>
    <row r="93" spans="1:18" ht="17.399999999999999" customHeight="1" x14ac:dyDescent="0.3">
      <c r="A93" s="87" t="s">
        <v>143</v>
      </c>
      <c r="B93" s="87">
        <v>20</v>
      </c>
      <c r="C93" s="87">
        <v>0.24</v>
      </c>
      <c r="D93" s="87">
        <v>0.24399999999999999</v>
      </c>
      <c r="E93" s="87">
        <v>5</v>
      </c>
      <c r="F93" s="87">
        <v>12.6</v>
      </c>
      <c r="G93" s="87">
        <v>20.6</v>
      </c>
      <c r="H93" s="87">
        <v>108</v>
      </c>
      <c r="I93" s="87">
        <v>26</v>
      </c>
      <c r="J93" s="87">
        <v>1.4</v>
      </c>
      <c r="K93" s="87">
        <v>0.2</v>
      </c>
      <c r="L93" s="87"/>
      <c r="M93" s="87"/>
      <c r="N93" s="87">
        <v>73</v>
      </c>
      <c r="O93" s="89">
        <v>26</v>
      </c>
      <c r="P93" s="89">
        <v>0.4</v>
      </c>
      <c r="Q93" s="89"/>
      <c r="R93" s="87"/>
    </row>
    <row r="94" spans="1:18" x14ac:dyDescent="0.3">
      <c r="A94" s="87" t="s">
        <v>15</v>
      </c>
      <c r="B94" s="87">
        <v>89.1</v>
      </c>
      <c r="C94" s="87">
        <v>0.89</v>
      </c>
      <c r="D94" s="87">
        <v>0.87</v>
      </c>
      <c r="E94" s="87">
        <v>37</v>
      </c>
      <c r="F94" s="87">
        <v>59</v>
      </c>
      <c r="G94" s="87">
        <v>97</v>
      </c>
      <c r="H94" s="87">
        <v>91</v>
      </c>
      <c r="I94" s="87">
        <v>194</v>
      </c>
      <c r="J94" s="87">
        <v>0.9</v>
      </c>
      <c r="K94" s="87">
        <v>3</v>
      </c>
      <c r="L94" s="87">
        <v>7.8</v>
      </c>
      <c r="M94" s="87">
        <v>2</v>
      </c>
      <c r="N94" s="87">
        <v>0</v>
      </c>
      <c r="O94" s="89">
        <v>454</v>
      </c>
      <c r="P94" s="89">
        <v>0.7</v>
      </c>
      <c r="Q94" s="89">
        <v>2</v>
      </c>
      <c r="R94" s="87"/>
    </row>
    <row r="95" spans="1:18" x14ac:dyDescent="0.3">
      <c r="A95" s="87" t="s">
        <v>105</v>
      </c>
      <c r="B95" s="87">
        <v>89.1</v>
      </c>
      <c r="C95" s="87">
        <v>0.24</v>
      </c>
      <c r="D95" s="87">
        <v>0.23</v>
      </c>
      <c r="E95" s="87">
        <v>8</v>
      </c>
      <c r="F95" s="87">
        <v>15</v>
      </c>
      <c r="G95" s="87">
        <v>24</v>
      </c>
      <c r="H95" s="87">
        <v>87</v>
      </c>
      <c r="I95" s="87">
        <v>208</v>
      </c>
      <c r="J95" s="87">
        <v>0.9</v>
      </c>
      <c r="K95" s="87">
        <v>2.8</v>
      </c>
      <c r="L95" s="87">
        <v>7.9</v>
      </c>
      <c r="M95" s="87">
        <v>2</v>
      </c>
      <c r="N95" s="87">
        <v>0</v>
      </c>
      <c r="O95" s="89">
        <v>482</v>
      </c>
      <c r="P95" s="89">
        <v>5</v>
      </c>
      <c r="Q95" s="89">
        <v>1.2</v>
      </c>
      <c r="R95" s="87"/>
    </row>
    <row r="96" spans="1:18" x14ac:dyDescent="0.3">
      <c r="A96" s="87" t="s">
        <v>109</v>
      </c>
      <c r="B96" s="87">
        <v>89.3</v>
      </c>
      <c r="C96" s="87">
        <v>0.96</v>
      </c>
      <c r="D96" s="87">
        <v>0.96</v>
      </c>
      <c r="E96" s="87">
        <v>21</v>
      </c>
      <c r="F96" s="87">
        <v>58</v>
      </c>
      <c r="G96" s="87">
        <v>74</v>
      </c>
      <c r="H96" s="87">
        <v>99</v>
      </c>
      <c r="I96" s="87">
        <v>26</v>
      </c>
      <c r="J96" s="87">
        <v>1.6</v>
      </c>
      <c r="K96" s="87">
        <v>0.5</v>
      </c>
      <c r="L96" s="87"/>
      <c r="M96" s="87"/>
      <c r="N96" s="87">
        <v>733</v>
      </c>
      <c r="O96" s="89">
        <v>88</v>
      </c>
      <c r="P96" s="89">
        <v>4</v>
      </c>
      <c r="Q96" s="89">
        <v>2</v>
      </c>
      <c r="R96" s="87"/>
    </row>
    <row r="97" spans="1:18" x14ac:dyDescent="0.3">
      <c r="A97" s="87" t="s">
        <v>149</v>
      </c>
      <c r="B97" s="87">
        <v>42</v>
      </c>
      <c r="C97" s="87">
        <v>0.47</v>
      </c>
      <c r="D97" s="87">
        <v>0.46</v>
      </c>
      <c r="E97" s="87">
        <v>24.36</v>
      </c>
      <c r="F97" s="87">
        <v>57.96</v>
      </c>
      <c r="G97" s="87">
        <v>49.98</v>
      </c>
      <c r="H97" s="87">
        <v>207</v>
      </c>
      <c r="I97" s="87">
        <v>142</v>
      </c>
      <c r="J97" s="87">
        <v>3.8</v>
      </c>
      <c r="K97" s="87">
        <v>0.3</v>
      </c>
      <c r="L97" s="87"/>
      <c r="M97" s="87"/>
      <c r="N97" s="87"/>
      <c r="O97" s="89"/>
      <c r="P97" s="89"/>
      <c r="Q97" s="89"/>
      <c r="R97" s="87"/>
    </row>
    <row r="98" spans="1:18" x14ac:dyDescent="0.3">
      <c r="A98" s="87" t="s">
        <v>115</v>
      </c>
      <c r="B98" s="87">
        <v>17.600000000000001</v>
      </c>
      <c r="C98" s="87">
        <v>0.18</v>
      </c>
      <c r="D98" s="87">
        <v>0.17</v>
      </c>
      <c r="E98" s="87">
        <v>8</v>
      </c>
      <c r="F98" s="87">
        <v>15</v>
      </c>
      <c r="G98" s="87">
        <v>20</v>
      </c>
      <c r="H98" s="87">
        <v>53</v>
      </c>
      <c r="I98" s="87">
        <v>47</v>
      </c>
      <c r="J98" s="87">
        <v>1.6</v>
      </c>
      <c r="K98" s="87">
        <v>0.8</v>
      </c>
      <c r="L98" s="87"/>
      <c r="M98" s="87"/>
      <c r="N98" s="87">
        <v>470</v>
      </c>
      <c r="O98" s="89">
        <v>116</v>
      </c>
      <c r="P98" s="89">
        <v>0.13</v>
      </c>
      <c r="Q98" s="89">
        <v>1.6</v>
      </c>
      <c r="R98" s="87"/>
    </row>
    <row r="99" spans="1:18" x14ac:dyDescent="0.3">
      <c r="A99" s="87" t="s">
        <v>157</v>
      </c>
      <c r="B99" s="87">
        <v>90</v>
      </c>
      <c r="C99" s="87">
        <v>0.71</v>
      </c>
      <c r="D99" s="87">
        <v>0.64</v>
      </c>
      <c r="E99" s="87">
        <v>45.9</v>
      </c>
      <c r="F99" s="87">
        <v>135.9</v>
      </c>
      <c r="G99" s="87">
        <v>55.8</v>
      </c>
      <c r="H99" s="87">
        <v>250</v>
      </c>
      <c r="I99" s="87">
        <v>140</v>
      </c>
      <c r="J99" s="87">
        <v>4</v>
      </c>
      <c r="K99" s="87">
        <v>1.5</v>
      </c>
      <c r="L99" s="87"/>
      <c r="M99" s="87"/>
      <c r="N99" s="87">
        <v>126</v>
      </c>
      <c r="O99" s="89"/>
      <c r="P99" s="89">
        <v>21</v>
      </c>
      <c r="Q99" s="89"/>
      <c r="R99" s="87"/>
    </row>
    <row r="100" spans="1:18" x14ac:dyDescent="0.3">
      <c r="A100" s="87" t="s">
        <v>139</v>
      </c>
      <c r="B100" s="87">
        <v>16.7</v>
      </c>
      <c r="C100" s="87">
        <v>0.17</v>
      </c>
      <c r="D100" s="87">
        <v>0.16800000000000001</v>
      </c>
      <c r="E100" s="87">
        <v>1.002</v>
      </c>
      <c r="F100" s="87">
        <v>13</v>
      </c>
      <c r="G100" s="87">
        <v>5.5</v>
      </c>
      <c r="H100" s="87">
        <v>5.6</v>
      </c>
      <c r="I100" s="87">
        <v>10</v>
      </c>
      <c r="J100" s="87">
        <v>2.5</v>
      </c>
      <c r="K100" s="87">
        <v>4</v>
      </c>
      <c r="L100" s="87"/>
      <c r="M100" s="87"/>
      <c r="N100" s="87"/>
      <c r="O100" s="89"/>
      <c r="P100" s="89"/>
      <c r="Q100" s="89"/>
      <c r="R100" s="87"/>
    </row>
    <row r="101" spans="1:18" x14ac:dyDescent="0.3">
      <c r="A101" s="87" t="s">
        <v>100</v>
      </c>
      <c r="B101" s="87">
        <v>90.2</v>
      </c>
      <c r="C101" s="87">
        <v>0.54</v>
      </c>
      <c r="D101" s="87">
        <v>0.46</v>
      </c>
      <c r="E101" s="87">
        <v>15</v>
      </c>
      <c r="F101" s="87">
        <v>28</v>
      </c>
      <c r="G101" s="87">
        <v>57</v>
      </c>
      <c r="H101" s="87">
        <v>44</v>
      </c>
      <c r="I101" s="87">
        <v>302</v>
      </c>
      <c r="J101" s="87">
        <v>0.5</v>
      </c>
      <c r="K101" s="87">
        <v>0.7</v>
      </c>
      <c r="L101" s="87"/>
      <c r="M101" s="87"/>
      <c r="N101" s="87">
        <v>0</v>
      </c>
      <c r="O101" s="89">
        <v>822</v>
      </c>
      <c r="P101" s="89">
        <v>0.5</v>
      </c>
      <c r="Q101" s="89">
        <v>0.7</v>
      </c>
      <c r="R101" s="87"/>
    </row>
    <row r="102" spans="1:18" x14ac:dyDescent="0.3">
      <c r="A102" s="87" t="s">
        <v>70</v>
      </c>
      <c r="B102" s="87">
        <v>87.3</v>
      </c>
      <c r="C102" s="87">
        <v>1.03</v>
      </c>
      <c r="D102" s="87">
        <v>1.03</v>
      </c>
      <c r="E102" s="87">
        <v>20</v>
      </c>
      <c r="F102" s="87">
        <v>59</v>
      </c>
      <c r="G102" s="87">
        <v>85</v>
      </c>
      <c r="H102" s="87">
        <v>92</v>
      </c>
      <c r="I102" s="87">
        <v>50</v>
      </c>
      <c r="J102" s="87">
        <v>1.7</v>
      </c>
      <c r="K102" s="87">
        <v>0.1</v>
      </c>
      <c r="L102" s="87"/>
      <c r="M102" s="87"/>
      <c r="N102" s="87">
        <v>616</v>
      </c>
      <c r="O102" s="89">
        <v>161</v>
      </c>
      <c r="P102" s="89">
        <v>1.4</v>
      </c>
      <c r="Q102" s="89">
        <v>1.2</v>
      </c>
      <c r="R102" s="87"/>
    </row>
    <row r="103" spans="1:18" x14ac:dyDescent="0.3">
      <c r="A103" s="87" t="s">
        <v>146</v>
      </c>
      <c r="B103" s="87">
        <v>28</v>
      </c>
      <c r="C103" s="87">
        <v>0.29399999999999998</v>
      </c>
      <c r="D103" s="87">
        <v>0.28899999999999998</v>
      </c>
      <c r="E103" s="87">
        <v>8.4</v>
      </c>
      <c r="F103" s="87">
        <v>50.4</v>
      </c>
      <c r="G103" s="87">
        <v>26.6</v>
      </c>
      <c r="H103" s="87">
        <v>30</v>
      </c>
      <c r="I103" s="87">
        <v>50</v>
      </c>
      <c r="J103" s="87">
        <v>1</v>
      </c>
      <c r="K103" s="87">
        <v>4.5</v>
      </c>
      <c r="L103" s="87"/>
      <c r="M103" s="87"/>
      <c r="N103" s="87">
        <v>50</v>
      </c>
      <c r="O103" s="89"/>
      <c r="P103" s="89">
        <v>0.5</v>
      </c>
      <c r="Q103" s="89"/>
      <c r="R103" s="87"/>
    </row>
    <row r="104" spans="1:18" x14ac:dyDescent="0.3">
      <c r="A104" s="87" t="s">
        <v>29</v>
      </c>
      <c r="B104" s="87">
        <v>86.6</v>
      </c>
      <c r="C104" s="87">
        <v>0.92</v>
      </c>
      <c r="D104" s="87">
        <v>0.86</v>
      </c>
      <c r="E104" s="87">
        <v>113</v>
      </c>
      <c r="F104" s="87">
        <v>107</v>
      </c>
      <c r="G104" s="87">
        <v>87</v>
      </c>
      <c r="H104" s="87">
        <v>169</v>
      </c>
      <c r="I104" s="87">
        <v>117</v>
      </c>
      <c r="J104" s="87">
        <v>8</v>
      </c>
      <c r="K104" s="87">
        <v>1.6</v>
      </c>
      <c r="L104" s="87">
        <v>6.7</v>
      </c>
      <c r="M104" s="87">
        <v>1.9</v>
      </c>
      <c r="N104" s="87">
        <v>227</v>
      </c>
      <c r="O104" s="89">
        <v>499</v>
      </c>
      <c r="P104" s="89">
        <v>5.0999999999999996</v>
      </c>
      <c r="Q104" s="89">
        <v>3.1</v>
      </c>
      <c r="R104" s="87"/>
    </row>
    <row r="105" spans="1:18" x14ac:dyDescent="0.3">
      <c r="A105" s="87" t="s">
        <v>72</v>
      </c>
      <c r="B105" s="87">
        <v>87.8</v>
      </c>
      <c r="C105" s="87">
        <v>0.78</v>
      </c>
      <c r="D105" s="87">
        <v>0.73</v>
      </c>
      <c r="E105" s="87">
        <v>55</v>
      </c>
      <c r="F105" s="87">
        <v>78</v>
      </c>
      <c r="G105" s="87">
        <v>90</v>
      </c>
      <c r="H105" s="87">
        <v>124</v>
      </c>
      <c r="I105" s="87">
        <v>146</v>
      </c>
      <c r="J105" s="87">
        <v>2.5</v>
      </c>
      <c r="K105" s="87">
        <v>3</v>
      </c>
      <c r="L105" s="87"/>
      <c r="M105" s="87"/>
      <c r="N105" s="87">
        <v>340</v>
      </c>
      <c r="O105" s="89">
        <v>595</v>
      </c>
      <c r="P105" s="89">
        <v>4.0999999999999996</v>
      </c>
      <c r="Q105" s="89">
        <v>1.6</v>
      </c>
      <c r="R105" s="87"/>
    </row>
    <row r="106" spans="1:18" x14ac:dyDescent="0.3">
      <c r="A106" s="87" t="s">
        <v>18</v>
      </c>
      <c r="B106" s="87">
        <v>88.2</v>
      </c>
      <c r="C106" s="87">
        <v>0.49</v>
      </c>
      <c r="D106" s="87">
        <v>0.38</v>
      </c>
      <c r="E106" s="87">
        <v>197</v>
      </c>
      <c r="F106" s="87">
        <v>169</v>
      </c>
      <c r="G106" s="87">
        <v>75</v>
      </c>
      <c r="H106" s="87">
        <v>285</v>
      </c>
      <c r="I106" s="87">
        <v>165</v>
      </c>
      <c r="J106" s="87">
        <v>5</v>
      </c>
      <c r="K106" s="87">
        <v>2.5</v>
      </c>
      <c r="L106" s="87">
        <v>6.9</v>
      </c>
      <c r="M106" s="87">
        <v>1.6</v>
      </c>
      <c r="N106" s="87"/>
      <c r="O106" s="89"/>
      <c r="P106" s="89"/>
      <c r="Q106" s="89">
        <v>3</v>
      </c>
      <c r="R106" s="87"/>
    </row>
    <row r="107" spans="1:18" x14ac:dyDescent="0.3">
      <c r="A107" s="87" t="s">
        <v>10</v>
      </c>
      <c r="B107" s="87">
        <v>88.7</v>
      </c>
      <c r="C107" s="87">
        <v>0.85</v>
      </c>
      <c r="D107" s="87">
        <v>0.8</v>
      </c>
      <c r="E107" s="87">
        <v>92</v>
      </c>
      <c r="F107" s="87">
        <v>219</v>
      </c>
      <c r="G107" s="87">
        <v>138</v>
      </c>
      <c r="H107" s="87">
        <v>380</v>
      </c>
      <c r="I107" s="87">
        <v>139</v>
      </c>
      <c r="J107" s="87">
        <v>9.1999999999999993</v>
      </c>
      <c r="K107" s="87">
        <v>9.4</v>
      </c>
      <c r="L107" s="87">
        <v>6.8</v>
      </c>
      <c r="M107" s="87">
        <v>2</v>
      </c>
      <c r="N107" s="87"/>
      <c r="O107" s="89"/>
      <c r="P107" s="89"/>
      <c r="Q107" s="89">
        <v>5.5</v>
      </c>
      <c r="R107" s="87"/>
    </row>
    <row r="108" spans="1:18" x14ac:dyDescent="0.3">
      <c r="A108" s="87" t="s">
        <v>81</v>
      </c>
      <c r="B108" s="87">
        <v>88.7</v>
      </c>
      <c r="C108" s="87">
        <v>0.85</v>
      </c>
      <c r="D108" s="87">
        <v>0.8</v>
      </c>
      <c r="E108" s="87">
        <v>212</v>
      </c>
      <c r="F108" s="87">
        <v>255</v>
      </c>
      <c r="G108" s="87">
        <v>246</v>
      </c>
      <c r="H108" s="87">
        <v>380</v>
      </c>
      <c r="I108" s="87">
        <v>139</v>
      </c>
      <c r="J108" s="87">
        <v>9.1999999999999993</v>
      </c>
      <c r="K108" s="87">
        <v>5.2</v>
      </c>
      <c r="L108" s="87"/>
      <c r="M108" s="87"/>
      <c r="N108" s="87">
        <v>0</v>
      </c>
      <c r="O108" s="89">
        <v>319</v>
      </c>
      <c r="P108" s="89">
        <v>2.6</v>
      </c>
      <c r="Q108" s="89">
        <v>5.5</v>
      </c>
      <c r="R108" s="87"/>
    </row>
    <row r="109" spans="1:18" x14ac:dyDescent="0.3">
      <c r="A109" s="87" t="s">
        <v>73</v>
      </c>
      <c r="B109" s="87">
        <v>87.4</v>
      </c>
      <c r="C109" s="87">
        <v>0.92</v>
      </c>
      <c r="D109" s="87">
        <v>0.89</v>
      </c>
      <c r="E109" s="87">
        <v>121</v>
      </c>
      <c r="F109" s="87">
        <v>190</v>
      </c>
      <c r="G109" s="87">
        <v>159</v>
      </c>
      <c r="H109" s="87">
        <v>124</v>
      </c>
      <c r="I109" s="87">
        <v>101</v>
      </c>
      <c r="J109" s="87">
        <v>4.9000000000000004</v>
      </c>
      <c r="K109" s="87">
        <v>0.3</v>
      </c>
      <c r="L109" s="87"/>
      <c r="M109" s="87"/>
      <c r="N109" s="87">
        <v>155</v>
      </c>
      <c r="O109" s="89">
        <v>425</v>
      </c>
      <c r="P109" s="89">
        <v>2.9</v>
      </c>
      <c r="Q109" s="89">
        <v>3.1</v>
      </c>
      <c r="R109" s="87"/>
    </row>
    <row r="110" spans="1:18" x14ac:dyDescent="0.3">
      <c r="A110" s="87" t="s">
        <v>31</v>
      </c>
      <c r="B110" s="87">
        <v>88.6</v>
      </c>
      <c r="C110" s="87">
        <v>1</v>
      </c>
      <c r="D110" s="87">
        <v>0.95</v>
      </c>
      <c r="E110" s="87">
        <v>277</v>
      </c>
      <c r="F110" s="87">
        <v>256</v>
      </c>
      <c r="G110" s="87">
        <v>202</v>
      </c>
      <c r="H110" s="87">
        <v>359</v>
      </c>
      <c r="I110" s="87">
        <v>110</v>
      </c>
      <c r="J110" s="87">
        <v>6</v>
      </c>
      <c r="K110" s="87">
        <v>5</v>
      </c>
      <c r="L110" s="87">
        <v>5.6</v>
      </c>
      <c r="M110" s="87">
        <v>1.8</v>
      </c>
      <c r="N110" s="87"/>
      <c r="O110" s="89"/>
      <c r="P110" s="89"/>
      <c r="Q110" s="89">
        <v>4.8</v>
      </c>
      <c r="R110" s="87"/>
    </row>
    <row r="111" spans="1:18" x14ac:dyDescent="0.3">
      <c r="A111" s="87" t="s">
        <v>19</v>
      </c>
      <c r="B111" s="87">
        <v>87.8</v>
      </c>
      <c r="C111" s="87">
        <v>1.06</v>
      </c>
      <c r="D111" s="87">
        <v>1.05</v>
      </c>
      <c r="E111" s="87">
        <v>177</v>
      </c>
      <c r="F111" s="87">
        <v>331</v>
      </c>
      <c r="G111" s="87">
        <v>229</v>
      </c>
      <c r="H111" s="87">
        <v>516</v>
      </c>
      <c r="I111" s="87">
        <v>68</v>
      </c>
      <c r="J111" s="87">
        <v>5</v>
      </c>
      <c r="K111" s="87">
        <v>3.9</v>
      </c>
      <c r="L111" s="87">
        <v>6.9</v>
      </c>
      <c r="M111" s="87">
        <v>1.5</v>
      </c>
      <c r="N111" s="87"/>
      <c r="O111" s="89">
        <v>139</v>
      </c>
      <c r="P111" s="89"/>
      <c r="Q111" s="89">
        <v>3.3</v>
      </c>
      <c r="R111" s="87"/>
    </row>
    <row r="112" spans="1:18" x14ac:dyDescent="0.3">
      <c r="A112" s="87" t="s">
        <v>20</v>
      </c>
      <c r="B112" s="87">
        <v>87.8</v>
      </c>
      <c r="C112" s="87">
        <v>1.06</v>
      </c>
      <c r="D112" s="87">
        <v>1.05</v>
      </c>
      <c r="E112" s="87">
        <v>337</v>
      </c>
      <c r="F112" s="87">
        <v>389</v>
      </c>
      <c r="G112" s="87">
        <v>374</v>
      </c>
      <c r="H112" s="87">
        <v>516</v>
      </c>
      <c r="I112" s="87">
        <v>68</v>
      </c>
      <c r="J112" s="87">
        <v>5</v>
      </c>
      <c r="K112" s="87">
        <v>2.1</v>
      </c>
      <c r="L112" s="87">
        <v>6.8</v>
      </c>
      <c r="M112" s="87">
        <v>1.4</v>
      </c>
      <c r="N112" s="87">
        <v>0</v>
      </c>
      <c r="O112" s="89">
        <v>0</v>
      </c>
      <c r="P112" s="89">
        <v>2.1</v>
      </c>
      <c r="Q112" s="89">
        <v>3.3</v>
      </c>
      <c r="R112" s="87"/>
    </row>
    <row r="113" spans="1:18" x14ac:dyDescent="0.3">
      <c r="A113" s="87" t="s">
        <v>30</v>
      </c>
      <c r="B113" s="87">
        <v>89.7</v>
      </c>
      <c r="C113" s="87">
        <v>0.73</v>
      </c>
      <c r="D113" s="87">
        <v>0.64</v>
      </c>
      <c r="E113" s="87">
        <v>280</v>
      </c>
      <c r="F113" s="87">
        <v>245</v>
      </c>
      <c r="G113" s="87">
        <v>128</v>
      </c>
      <c r="H113" s="87">
        <v>373</v>
      </c>
      <c r="I113" s="87">
        <v>236</v>
      </c>
      <c r="J113" s="87">
        <v>7.8</v>
      </c>
      <c r="K113" s="87">
        <v>4.5</v>
      </c>
      <c r="L113" s="87">
        <v>5.8</v>
      </c>
      <c r="M113" s="87">
        <v>2.1</v>
      </c>
      <c r="N113" s="87"/>
      <c r="O113" s="89">
        <v>139</v>
      </c>
      <c r="P113" s="89"/>
      <c r="Q113" s="89">
        <v>6.1</v>
      </c>
      <c r="R113" s="87"/>
    </row>
    <row r="114" spans="1:18" x14ac:dyDescent="0.3">
      <c r="A114" s="87" t="s">
        <v>13</v>
      </c>
      <c r="B114" s="87">
        <v>87.3</v>
      </c>
      <c r="C114" s="87">
        <v>1.01</v>
      </c>
      <c r="D114" s="87">
        <v>1.02</v>
      </c>
      <c r="E114" s="87">
        <v>20</v>
      </c>
      <c r="F114" s="87">
        <v>63</v>
      </c>
      <c r="G114" s="87">
        <v>84</v>
      </c>
      <c r="H114" s="87">
        <v>110</v>
      </c>
      <c r="I114" s="87">
        <v>27</v>
      </c>
      <c r="J114" s="87">
        <v>3</v>
      </c>
      <c r="K114" s="87">
        <v>0.8</v>
      </c>
      <c r="L114" s="87">
        <v>7.1</v>
      </c>
      <c r="M114" s="87">
        <v>2</v>
      </c>
      <c r="N114" s="87">
        <v>686</v>
      </c>
      <c r="O114" s="89">
        <v>146</v>
      </c>
      <c r="P114" s="89">
        <v>1.5</v>
      </c>
      <c r="Q114" s="89">
        <v>1.1000000000000001</v>
      </c>
      <c r="R114" s="87"/>
    </row>
    <row r="115" spans="1:18" x14ac:dyDescent="0.3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x14ac:dyDescent="0.3">
      <c r="A116" s="87"/>
      <c r="B116" s="87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x14ac:dyDescent="0.3">
      <c r="A117" s="87"/>
      <c r="B117" s="87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x14ac:dyDescent="0.3">
      <c r="A118" s="87"/>
      <c r="B118" s="87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x14ac:dyDescent="0.3">
      <c r="A119" s="87"/>
      <c r="B119" s="87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x14ac:dyDescent="0.3">
      <c r="A120" s="87"/>
      <c r="B120" s="87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x14ac:dyDescent="0.3">
      <c r="A121" s="87"/>
      <c r="B121" s="87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x14ac:dyDescent="0.3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x14ac:dyDescent="0.3">
      <c r="A123" s="87"/>
      <c r="B123" s="87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x14ac:dyDescent="0.3">
      <c r="A124" s="87"/>
      <c r="B124" s="87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x14ac:dyDescent="0.3">
      <c r="A125" s="87"/>
      <c r="B125" s="87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x14ac:dyDescent="0.3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x14ac:dyDescent="0.3">
      <c r="A127" s="87"/>
      <c r="B127" s="87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x14ac:dyDescent="0.3">
      <c r="A128" s="87"/>
      <c r="B128" s="87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20" x14ac:dyDescent="0.3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20" x14ac:dyDescent="0.3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20" x14ac:dyDescent="0.3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20" x14ac:dyDescent="0.3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20" x14ac:dyDescent="0.3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20" x14ac:dyDescent="0.3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20" x14ac:dyDescent="0.3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20" x14ac:dyDescent="0.3">
      <c r="A136" s="87"/>
      <c r="B136" s="119" t="s">
        <v>4</v>
      </c>
      <c r="C136" s="119" t="s">
        <v>5</v>
      </c>
      <c r="D136" s="119" t="s">
        <v>6</v>
      </c>
      <c r="E136" s="119" t="s">
        <v>22</v>
      </c>
      <c r="F136" s="119" t="s">
        <v>23</v>
      </c>
      <c r="G136" s="119" t="s">
        <v>8</v>
      </c>
      <c r="H136" s="119" t="s">
        <v>24</v>
      </c>
      <c r="I136" s="119" t="s">
        <v>7</v>
      </c>
      <c r="J136" s="119" t="s">
        <v>25</v>
      </c>
      <c r="K136" s="119" t="s">
        <v>26</v>
      </c>
      <c r="L136" s="119" t="s">
        <v>42</v>
      </c>
      <c r="M136" s="119" t="s">
        <v>43</v>
      </c>
      <c r="N136" s="87"/>
      <c r="O136" s="87"/>
      <c r="P136" s="87"/>
      <c r="Q136" s="87"/>
      <c r="R136" s="87"/>
      <c r="S136" s="87"/>
      <c r="T136" s="87"/>
    </row>
    <row r="137" spans="1:20" ht="15.6" x14ac:dyDescent="0.3">
      <c r="A137" s="120" t="s">
        <v>47</v>
      </c>
      <c r="B137" s="87">
        <f>C13*100</f>
        <v>93</v>
      </c>
      <c r="C137" s="87">
        <f>E13</f>
        <v>127</v>
      </c>
      <c r="D137" s="87">
        <f>F13</f>
        <v>102</v>
      </c>
      <c r="E137" s="87">
        <f>G13*10</f>
        <v>2190</v>
      </c>
      <c r="F137" s="87">
        <f>H13</f>
        <v>85</v>
      </c>
      <c r="G137" s="87">
        <f>I13*10</f>
        <v>68</v>
      </c>
      <c r="H137" s="87">
        <f>J13*10</f>
        <v>18</v>
      </c>
      <c r="I137" s="87">
        <f>L13</f>
        <v>49</v>
      </c>
      <c r="J137" s="87">
        <f>M13</f>
        <v>6.3</v>
      </c>
      <c r="K137" s="87">
        <f>N13*10</f>
        <v>20</v>
      </c>
      <c r="L137" s="87">
        <f>O13*10</f>
        <v>2050</v>
      </c>
      <c r="M137" s="87">
        <f>P13*10</f>
        <v>3840</v>
      </c>
      <c r="N137" s="87"/>
      <c r="O137" s="87"/>
      <c r="P137" s="87"/>
      <c r="Q137" s="87"/>
      <c r="R137" s="87"/>
      <c r="S137" s="87"/>
      <c r="T137" s="87"/>
    </row>
    <row r="138" spans="1:20" ht="15.6" x14ac:dyDescent="0.3">
      <c r="A138" s="120" t="s">
        <v>46</v>
      </c>
      <c r="B138" s="118">
        <f>D26*100</f>
        <v>95.63</v>
      </c>
      <c r="C138" s="121">
        <f>F26</f>
        <v>127.88</v>
      </c>
      <c r="D138" s="121">
        <f>G26</f>
        <v>117.92</v>
      </c>
      <c r="E138" s="121">
        <f>H26*10</f>
        <v>205.68</v>
      </c>
      <c r="F138" s="117">
        <f>I26</f>
        <v>53.14</v>
      </c>
      <c r="G138" s="121">
        <f>J26*10</f>
        <v>89</v>
      </c>
      <c r="H138" s="121">
        <f>K26*10</f>
        <v>16.919999999999998</v>
      </c>
      <c r="I138" s="121">
        <f>M26</f>
        <v>63.21</v>
      </c>
      <c r="J138" s="121">
        <f>N26*10</f>
        <v>67.094999999999999</v>
      </c>
      <c r="K138" s="121">
        <f>O26*10</f>
        <v>17.549999999999997</v>
      </c>
      <c r="L138" s="121">
        <f>P26*10</f>
        <v>4515</v>
      </c>
      <c r="M138" s="121">
        <f>Q26*10</f>
        <v>1939.7</v>
      </c>
      <c r="N138" s="87"/>
      <c r="O138" s="87"/>
      <c r="P138" s="87"/>
      <c r="Q138" s="87"/>
      <c r="R138" s="87"/>
      <c r="S138" s="87"/>
      <c r="T138" s="87"/>
    </row>
    <row r="139" spans="1:20" x14ac:dyDescent="0.3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</row>
    <row r="140" spans="1:20" ht="18" x14ac:dyDescent="0.3">
      <c r="A140" s="87"/>
      <c r="B140" s="122" t="s">
        <v>32</v>
      </c>
      <c r="C140" s="90" t="s">
        <v>33</v>
      </c>
      <c r="D140" s="90" t="s">
        <v>98</v>
      </c>
      <c r="E140" s="122" t="s">
        <v>97</v>
      </c>
      <c r="F140" s="90" t="s">
        <v>38</v>
      </c>
      <c r="G140" s="90" t="s">
        <v>39</v>
      </c>
      <c r="H140" s="90" t="s">
        <v>35</v>
      </c>
      <c r="I140" s="122" t="s">
        <v>34</v>
      </c>
      <c r="J140" s="90" t="s">
        <v>36</v>
      </c>
      <c r="K140" s="122" t="s">
        <v>37</v>
      </c>
      <c r="L140" s="90" t="s">
        <v>40</v>
      </c>
      <c r="M140" s="122" t="s">
        <v>41</v>
      </c>
      <c r="N140" s="90" t="s">
        <v>44</v>
      </c>
      <c r="O140" s="90" t="s">
        <v>45</v>
      </c>
      <c r="P140" s="90" t="s">
        <v>92</v>
      </c>
      <c r="Q140" s="90" t="s">
        <v>114</v>
      </c>
      <c r="R140" s="87"/>
    </row>
    <row r="141" spans="1:20" x14ac:dyDescent="0.3">
      <c r="A141" s="87"/>
      <c r="B141" s="89">
        <f>VLOOKUP($B$17,$A$142:$Q$153,2,FALSE)</f>
        <v>0.88</v>
      </c>
      <c r="C141" s="89">
        <f>VLOOKUP($B$17,$A$142:$Q$153,3,FALSE)</f>
        <v>1</v>
      </c>
      <c r="D141" s="89">
        <f>VLOOKUP($B$17,$A$142:$Q$153,4,FALSE)</f>
        <v>1.01</v>
      </c>
      <c r="E141" s="89">
        <f>VLOOKUP($B$17,$A$142:$Q$153,5,FALSE)</f>
        <v>50</v>
      </c>
      <c r="F141" s="89">
        <f>VLOOKUP($B$17,$A$142:$Q$153,6,FALSE)</f>
        <v>115</v>
      </c>
      <c r="G141" s="89">
        <f>VLOOKUP($B$17,$A$142:$Q$153,7,FALSE)</f>
        <v>115</v>
      </c>
      <c r="H141" s="89">
        <f>VLOOKUP($B$17,$A$142:$Q$153,10,FALSE)</f>
        <v>3</v>
      </c>
      <c r="I141" s="89">
        <f>VLOOKUP($B$17,$A$142:$Q$153,11,FALSE)</f>
        <v>4</v>
      </c>
      <c r="J141" s="89">
        <f>VLOOKUP($B$17,$A$142:$Q$153,12,FALSE)</f>
        <v>0</v>
      </c>
      <c r="K141" s="89">
        <f>VLOOKUP($B$17,$A$142:$Q$153,13,FALSE)</f>
        <v>0</v>
      </c>
      <c r="L141" s="89">
        <f>VLOOKUP($B$17,$A$142:$Q$153,14,FALSE)</f>
        <v>250</v>
      </c>
      <c r="M141" s="89">
        <f>VLOOKUP($B$17,$A$142:$Q$153,15,FALSE)</f>
        <v>0</v>
      </c>
      <c r="N141" s="89">
        <f>VLOOKUP($B$17,$A$142:$Q$153,16,FALSE)</f>
        <v>0</v>
      </c>
      <c r="O141" s="89">
        <f>VLOOKUP($B$17,$A$142:$Q$153,17,FALSE)</f>
        <v>0</v>
      </c>
      <c r="P141" s="89" t="e">
        <f>VLOOKUP($B$17,$A$142:$Q$153,18,FALSE)</f>
        <v>#REF!</v>
      </c>
      <c r="Q141" s="89" t="e">
        <f>VLOOKUP($B$17,$A$142:$Q$153,19,FALSE)</f>
        <v>#REF!</v>
      </c>
      <c r="R141" s="87"/>
    </row>
    <row r="142" spans="1:20" x14ac:dyDescent="0.3">
      <c r="A142" s="87" t="s">
        <v>119</v>
      </c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20" x14ac:dyDescent="0.3">
      <c r="A143" s="87" t="s">
        <v>135</v>
      </c>
      <c r="B143" s="89">
        <v>0.88</v>
      </c>
      <c r="C143" s="89">
        <v>1</v>
      </c>
      <c r="D143" s="89">
        <v>1.01</v>
      </c>
      <c r="E143" s="89">
        <v>50</v>
      </c>
      <c r="F143" s="89">
        <v>115</v>
      </c>
      <c r="G143" s="89">
        <v>115</v>
      </c>
      <c r="H143" s="87"/>
      <c r="I143" s="87"/>
      <c r="J143" s="87">
        <v>3</v>
      </c>
      <c r="K143" s="87">
        <v>4</v>
      </c>
      <c r="L143" s="87"/>
      <c r="M143" s="87"/>
      <c r="N143" s="89">
        <v>250</v>
      </c>
      <c r="O143" s="87"/>
      <c r="P143" s="87"/>
      <c r="Q143" s="87"/>
      <c r="R143" s="87"/>
    </row>
    <row r="144" spans="1:20" x14ac:dyDescent="0.3">
      <c r="A144" s="87" t="s">
        <v>123</v>
      </c>
      <c r="B144" s="89">
        <v>0.88</v>
      </c>
      <c r="C144" s="89">
        <v>0.93</v>
      </c>
      <c r="D144" s="89"/>
      <c r="E144" s="89">
        <v>75</v>
      </c>
      <c r="F144" s="89">
        <v>135</v>
      </c>
      <c r="G144" s="89">
        <v>125</v>
      </c>
      <c r="H144" s="89">
        <v>18</v>
      </c>
      <c r="I144" s="87"/>
      <c r="J144" s="87">
        <v>3.5</v>
      </c>
      <c r="K144" s="87">
        <v>7</v>
      </c>
      <c r="L144" s="87"/>
      <c r="M144" s="87"/>
      <c r="N144" s="89"/>
      <c r="O144" s="87"/>
      <c r="P144" s="87"/>
      <c r="Q144" s="87"/>
      <c r="R144" s="87"/>
    </row>
    <row r="145" spans="1:18" x14ac:dyDescent="0.3">
      <c r="A145" s="87" t="s">
        <v>120</v>
      </c>
      <c r="B145" s="89">
        <v>0.88</v>
      </c>
      <c r="C145" s="89">
        <v>0.96</v>
      </c>
      <c r="D145" s="87"/>
      <c r="E145" s="87">
        <v>90</v>
      </c>
      <c r="F145" s="87">
        <v>155</v>
      </c>
      <c r="G145" s="87">
        <v>145</v>
      </c>
      <c r="H145" s="87">
        <v>20</v>
      </c>
      <c r="I145" s="87"/>
      <c r="J145" s="87">
        <v>3.5</v>
      </c>
      <c r="K145" s="87">
        <v>5</v>
      </c>
      <c r="L145" s="87"/>
      <c r="M145" s="87"/>
      <c r="N145" s="87"/>
      <c r="O145" s="87"/>
      <c r="P145" s="87"/>
      <c r="Q145" s="87"/>
      <c r="R145" s="87"/>
    </row>
    <row r="146" spans="1:18" x14ac:dyDescent="0.3">
      <c r="A146" s="87" t="s">
        <v>121</v>
      </c>
      <c r="B146" s="89">
        <v>0.88</v>
      </c>
      <c r="C146" s="89">
        <v>1.05</v>
      </c>
      <c r="D146" s="87"/>
      <c r="E146" s="87">
        <v>130</v>
      </c>
      <c r="F146" s="87">
        <v>205</v>
      </c>
      <c r="G146" s="87">
        <v>180</v>
      </c>
      <c r="H146" s="87">
        <v>26</v>
      </c>
      <c r="I146" s="87"/>
      <c r="J146" s="87">
        <v>3.5</v>
      </c>
      <c r="K146" s="87">
        <v>7</v>
      </c>
      <c r="L146" s="87"/>
      <c r="M146" s="87"/>
      <c r="N146" s="87"/>
      <c r="O146" s="87"/>
      <c r="P146" s="87"/>
      <c r="Q146" s="87"/>
      <c r="R146" s="87"/>
    </row>
    <row r="147" spans="1:18" x14ac:dyDescent="0.3">
      <c r="A147" s="87" t="s">
        <v>122</v>
      </c>
      <c r="B147" s="89">
        <v>0.88</v>
      </c>
      <c r="C147" s="89">
        <v>0.9</v>
      </c>
      <c r="D147" s="87"/>
      <c r="E147" s="87">
        <v>50</v>
      </c>
      <c r="F147" s="87">
        <v>105</v>
      </c>
      <c r="G147" s="87">
        <v>100</v>
      </c>
      <c r="H147" s="87">
        <v>15</v>
      </c>
      <c r="I147" s="87"/>
      <c r="J147" s="87">
        <v>2.5</v>
      </c>
      <c r="K147" s="87">
        <v>5</v>
      </c>
      <c r="L147" s="87"/>
      <c r="M147" s="87"/>
      <c r="N147" s="87"/>
      <c r="O147" s="87"/>
      <c r="P147" s="87"/>
      <c r="Q147" s="87"/>
      <c r="R147" s="87"/>
    </row>
    <row r="148" spans="1:18" x14ac:dyDescent="0.3">
      <c r="A148" s="87"/>
      <c r="B148" s="87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x14ac:dyDescent="0.3">
      <c r="A149" s="87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x14ac:dyDescent="0.3">
      <c r="A150" s="87"/>
      <c r="B150" s="87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x14ac:dyDescent="0.3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x14ac:dyDescent="0.3">
      <c r="A152" s="87"/>
      <c r="B152" s="87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x14ac:dyDescent="0.3">
      <c r="A153" s="87"/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x14ac:dyDescent="0.3">
      <c r="A154" s="123"/>
      <c r="B154" s="123"/>
      <c r="C154" s="123"/>
      <c r="D154" s="123"/>
      <c r="E154" s="123"/>
      <c r="F154" s="123"/>
      <c r="G154" s="123"/>
      <c r="H154" s="123"/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</row>
    <row r="155" spans="1:18" x14ac:dyDescent="0.3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</row>
    <row r="156" spans="1:18" x14ac:dyDescent="0.3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</row>
    <row r="157" spans="1:18" x14ac:dyDescent="0.3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</row>
    <row r="158" spans="1:18" x14ac:dyDescent="0.3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</row>
    <row r="159" spans="1:18" x14ac:dyDescent="0.3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</row>
    <row r="160" spans="1:18" x14ac:dyDescent="0.3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</row>
  </sheetData>
  <sheetProtection password="E9D8" sheet="1" objects="1" scenarios="1"/>
  <mergeCells count="29">
    <mergeCell ref="A1:B1"/>
    <mergeCell ref="C37:E37"/>
    <mergeCell ref="B17:C17"/>
    <mergeCell ref="P7:Q7"/>
    <mergeCell ref="O5:Q6"/>
    <mergeCell ref="N15:R17"/>
    <mergeCell ref="I35:I36"/>
    <mergeCell ref="G5:H7"/>
    <mergeCell ref="I5:I7"/>
    <mergeCell ref="A15:B16"/>
    <mergeCell ref="R12:T12"/>
    <mergeCell ref="R13:T13"/>
    <mergeCell ref="S15:T16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G38:H38"/>
    <mergeCell ref="K29:M32"/>
    <mergeCell ref="E29:H29"/>
    <mergeCell ref="G37:H37"/>
    <mergeCell ref="C35:E36"/>
    <mergeCell ref="F35:F36"/>
    <mergeCell ref="G35:H36"/>
  </mergeCells>
  <conditionalFormatting sqref="I5:I7">
    <cfRule type="colorScale" priority="30">
      <colorScale>
        <cfvo type="num" val="$R$13"/>
        <cfvo type="num" val="$R$13"/>
        <color rgb="FFFF0000"/>
        <color theme="9"/>
      </colorScale>
    </cfRule>
    <cfRule type="colorScale" priority="31">
      <colorScale>
        <cfvo type="num" val="$R$13"/>
        <cfvo type="num" val="$R$13"/>
        <color rgb="FFFF7128"/>
        <color theme="9"/>
      </colorScale>
    </cfRule>
  </conditionalFormatting>
  <conditionalFormatting sqref="G5:H7">
    <cfRule type="colorScale" priority="32">
      <colorScale>
        <cfvo type="num" val="$R$13"/>
        <cfvo type="num" val="$R$13"/>
        <color rgb="FFFF0000"/>
        <color theme="9"/>
      </colorScale>
    </cfRule>
    <cfRule type="colorScale" priority="33">
      <colorScale>
        <cfvo type="num" val="$R$13"/>
        <cfvo type="num" val="$R$13"/>
        <color rgb="FFFF0000"/>
        <color theme="9"/>
      </colorScale>
    </cfRule>
  </conditionalFormatting>
  <dataValidations count="6">
    <dataValidation type="list" allowBlank="1" showInputMessage="1" showErrorMessage="1" sqref="A14">
      <formula1>$A$46:$A$100</formula1>
    </dataValidation>
    <dataValidation type="list" allowBlank="1" showInputMessage="1" showErrorMessage="1" sqref="B17">
      <formula1>$A$142:$A$147</formula1>
    </dataValidation>
    <dataValidation type="list" allowBlank="1" showInputMessage="1" showErrorMessage="1" sqref="B3">
      <formula1>$A$46:$A$123</formula1>
    </dataValidation>
    <dataValidation type="list" allowBlank="1" showInputMessage="1" showErrorMessage="1" sqref="B7">
      <formula1>$A$46:$A$118</formula1>
    </dataValidation>
    <dataValidation type="list" allowBlank="1" showInputMessage="1" showErrorMessage="1" sqref="A19:A25">
      <formula1>$A$41:$A$135</formula1>
    </dataValidation>
    <dataValidation type="list" allowBlank="1" showInputMessage="1" showErrorMessage="1" sqref="A13">
      <formula1>$A$41:$A$101</formula1>
    </dataValidation>
  </dataValidations>
  <pageMargins left="0.7" right="0.7" top="0.75" bottom="0.75" header="0.3" footer="0.3"/>
  <pageSetup paperSize="9" scale="48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47" r:id="rId4" name="SpinButton1">
          <controlPr defaultSize="0" autoLine="0" r:id="rId5">
            <anchor moveWithCells="1">
              <from>
                <xdr:col>1</xdr:col>
                <xdr:colOff>15240</xdr:colOff>
                <xdr:row>23</xdr:row>
                <xdr:rowOff>15240</xdr:rowOff>
              </from>
              <to>
                <xdr:col>1</xdr:col>
                <xdr:colOff>670560</xdr:colOff>
                <xdr:row>23</xdr:row>
                <xdr:rowOff>266700</xdr:rowOff>
              </to>
            </anchor>
          </controlPr>
        </control>
      </mc:Choice>
      <mc:Fallback>
        <control shapeId="1047" r:id="rId4" name="SpinButton1"/>
      </mc:Fallback>
    </mc:AlternateContent>
    <mc:AlternateContent xmlns:mc="http://schemas.openxmlformats.org/markup-compatibility/2006">
      <mc:Choice Requires="x14">
        <control shapeId="1026" r:id="rId6" name="Scroll Bar 2">
          <controlPr defaultSize="0" autoPict="0">
            <anchor moveWithCells="1">
              <from>
                <xdr:col>1</xdr:col>
                <xdr:colOff>15240</xdr:colOff>
                <xdr:row>18</xdr:row>
                <xdr:rowOff>7620</xdr:rowOff>
              </from>
              <to>
                <xdr:col>1</xdr:col>
                <xdr:colOff>632460</xdr:colOff>
                <xdr:row>18</xdr:row>
                <xdr:rowOff>243840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7" name="Scroll Bar 3">
          <controlPr defaultSize="0" autoPict="0">
            <anchor moveWithCells="1">
              <from>
                <xdr:col>0</xdr:col>
                <xdr:colOff>4998720</xdr:colOff>
                <xdr:row>20</xdr:row>
                <xdr:rowOff>15240</xdr:rowOff>
              </from>
              <to>
                <xdr:col>1</xdr:col>
                <xdr:colOff>609600</xdr:colOff>
                <xdr:row>20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9" r:id="rId8" name="Scroll Bar 5">
          <controlPr defaultSize="0" autoPict="0">
            <anchor moveWithCells="1">
              <from>
                <xdr:col>1</xdr:col>
                <xdr:colOff>0</xdr:colOff>
                <xdr:row>21</xdr:row>
                <xdr:rowOff>30480</xdr:rowOff>
              </from>
              <to>
                <xdr:col>1</xdr:col>
                <xdr:colOff>632460</xdr:colOff>
                <xdr:row>21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9" name="Scroll Bar 22">
          <controlPr defaultSize="0" autoPict="0">
            <anchor moveWithCells="1">
              <from>
                <xdr:col>1</xdr:col>
                <xdr:colOff>0</xdr:colOff>
                <xdr:row>24</xdr:row>
                <xdr:rowOff>30480</xdr:rowOff>
              </from>
              <to>
                <xdr:col>1</xdr:col>
                <xdr:colOff>632460</xdr:colOff>
                <xdr:row>24</xdr:row>
                <xdr:rowOff>251460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0" r:id="rId10" name="Scroll Bar 46">
          <controlPr defaultSize="0" autoPict="0">
            <anchor moveWithCells="1">
              <from>
                <xdr:col>1</xdr:col>
                <xdr:colOff>15240</xdr:colOff>
                <xdr:row>19</xdr:row>
                <xdr:rowOff>7620</xdr:rowOff>
              </from>
              <to>
                <xdr:col>1</xdr:col>
                <xdr:colOff>632460</xdr:colOff>
                <xdr:row>19</xdr:row>
                <xdr:rowOff>243840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71" r:id="rId11" name="Scroll Bar 47">
          <controlPr defaultSize="0" autoPict="0">
            <anchor moveWithCells="1">
              <from>
                <xdr:col>1</xdr:col>
                <xdr:colOff>15240</xdr:colOff>
                <xdr:row>22</xdr:row>
                <xdr:rowOff>7620</xdr:rowOff>
              </from>
              <to>
                <xdr:col>1</xdr:col>
                <xdr:colOff>632460</xdr:colOff>
                <xdr:row>22</xdr:row>
                <xdr:rowOff>243840</xdr:rowOff>
              </to>
            </anchor>
          </controlPr>
        </control>
      </mc:Choice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3" id="{7210693A-2D0D-4F53-B174-5A1493E32D4C}">
            <x14:iconSet iconSet="3TrafficLights2" custom="1">
              <x14:cfvo type="percent">
                <xm:f>0</xm:f>
              </x14:cfvo>
              <x14:cfvo type="num">
                <xm:f>$C$141</xm:f>
              </x14:cfvo>
              <x14:cfvo type="num">
                <xm:f>$C$141</xm:f>
              </x14:cfvo>
              <x14:cfIcon iconSet="3TrafficLights2" iconId="0"/>
              <x14:cfIcon iconSet="3TrafficLights2" iconId="2"/>
              <x14:cfIcon iconSet="3TrafficLights2" iconId="2"/>
            </x14:iconSet>
          </x14:cfRule>
          <xm:sqref>D26</xm:sqref>
        </x14:conditionalFormatting>
        <x14:conditionalFormatting xmlns:xm="http://schemas.microsoft.com/office/excel/2006/main">
          <x14:cfRule type="iconSet" priority="24" id="{42C75909-76CA-4889-B5AB-A2AFBC8ABA1E}">
            <x14:iconSet iconSet="3TrafficLights2" custom="1">
              <x14:cfvo type="percent">
                <xm:f>0</xm:f>
              </x14:cfvo>
              <x14:cfvo type="num">
                <xm:f>$F$141</xm:f>
              </x14:cfvo>
              <x14:cfvo type="num">
                <xm:f>$F$141</xm:f>
              </x14:cfvo>
              <x14:cfIcon iconSet="3TrafficLights2" iconId="0"/>
              <x14:cfIcon iconSet="3TrafficLights2" iconId="2"/>
              <x14:cfIcon iconSet="3TrafficLights2" iconId="2"/>
            </x14:iconSet>
          </x14:cfRule>
          <xm:sqref>F26</xm:sqref>
        </x14:conditionalFormatting>
        <x14:conditionalFormatting xmlns:xm="http://schemas.microsoft.com/office/excel/2006/main">
          <x14:cfRule type="iconSet" priority="25" id="{86E0AE17-855D-4DD8-8729-163DF779EDCE}">
            <x14:iconSet custom="1">
              <x14:cfvo type="percent">
                <xm:f>0</xm:f>
              </x14:cfvo>
              <x14:cfvo type="num">
                <xm:f>$G$141</xm:f>
              </x14:cfvo>
              <x14:cfvo type="num">
                <xm:f>$G$141</xm:f>
              </x14:cfvo>
              <x14:cfIcon iconSet="3TrafficLights2" iconId="0"/>
              <x14:cfIcon iconSet="3TrafficLights2" iconId="2"/>
              <x14:cfIcon iconSet="3TrafficLights2" iconId="2"/>
            </x14:iconSet>
          </x14:cfRule>
          <xm:sqref>G26</xm:sqref>
        </x14:conditionalFormatting>
        <x14:conditionalFormatting xmlns:xm="http://schemas.microsoft.com/office/excel/2006/main">
          <x14:cfRule type="iconSet" priority="28" id="{1F23EA0A-84DC-4FF5-B709-A806606080D0}">
            <x14:iconSet custom="1">
              <x14:cfvo type="percent">
                <xm:f>0</xm:f>
              </x14:cfvo>
              <x14:cfvo type="num">
                <xm:f>$J$141</xm:f>
              </x14:cfvo>
              <x14:cfvo type="num">
                <xm:f>$J$141</xm:f>
              </x14:cfvo>
              <x14:cfIcon iconSet="3TrafficLights2" iconId="0"/>
              <x14:cfIcon iconSet="3TrafficLights2" iconId="2"/>
              <x14:cfIcon iconSet="3TrafficLights2" iconId="2"/>
            </x14:iconSet>
          </x14:cfRule>
          <xm:sqref>J26</xm:sqref>
        </x14:conditionalFormatting>
        <x14:conditionalFormatting xmlns:xm="http://schemas.microsoft.com/office/excel/2006/main">
          <x14:cfRule type="iconSet" priority="29" id="{8208CE3B-0FB2-4056-AD0D-96D0976E4807}">
            <x14:iconSet custom="1">
              <x14:cfvo type="percent">
                <xm:f>0</xm:f>
              </x14:cfvo>
              <x14:cfvo type="num">
                <xm:f>$K$141</xm:f>
              </x14:cfvo>
              <x14:cfvo type="num">
                <xm:f>$K$141</xm:f>
              </x14:cfvo>
              <x14:cfIcon iconSet="3TrafficLights2" iconId="0"/>
              <x14:cfIcon iconSet="3TrafficLights2" iconId="2"/>
              <x14:cfIcon iconSet="3TrafficLights2" iconId="2"/>
            </x14:iconSet>
          </x14:cfRule>
          <xm:sqref>K26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Concentré </vt:lpstr>
      <vt:lpstr>'Concentré 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Clément PRIEZ</dc:creator>
  <cp:lastModifiedBy>Clément PRIEZ</cp:lastModifiedBy>
  <cp:lastPrinted>2017-02-17T11:11:37Z</cp:lastPrinted>
  <dcterms:created xsi:type="dcterms:W3CDTF">2016-04-08T12:41:17Z</dcterms:created>
  <dcterms:modified xsi:type="dcterms:W3CDTF">2017-08-04T13:34:51Z</dcterms:modified>
  <cp:contentStatus/>
</cp:coreProperties>
</file>