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BOULOT\ELEVAGE\Echange paille-fumier\"/>
    </mc:Choice>
  </mc:AlternateContent>
  <bookViews>
    <workbookView xWindow="0" yWindow="0" windowWidth="28800" windowHeight="11730"/>
  </bookViews>
  <sheets>
    <sheet name="Formulaire de saisie" sheetId="1" r:id="rId1"/>
    <sheet name="Références et calculs" sheetId="2" r:id="rId2"/>
  </sheets>
  <definedNames>
    <definedName name="Benne_12_14_t">'Références et calculs'!$B$20</definedName>
    <definedName name="Benne_18t">'Références et calculs'!$B$21</definedName>
    <definedName name="Chargeur_frontal_2_fonct">'Références et calculs'!$B$16</definedName>
    <definedName name="Chargeur_télescopique">'Références et calculs'!$B$17</definedName>
    <definedName name="coût_épandage_fumier">'Références et calculs'!$B$37</definedName>
    <definedName name="coût_pressage">'Références et calculs'!$B$32</definedName>
    <definedName name="Coût_transport_et_épandage_du_lisier">'Références et calculs'!$B$36</definedName>
    <definedName name="coût_transport_fumier">'Références et calculs'!$B$34</definedName>
    <definedName name="coût_transport_paille">'Références et calculs'!$B$33</definedName>
    <definedName name="distance_parcelle_ferme">'Formulaire de saisie'!$D$9</definedName>
    <definedName name="Epandeur">'Références et calculs'!$B$27</definedName>
    <definedName name="ficelle">'Références et calculs'!$B$24</definedName>
    <definedName name="liste_PRO">OFFSET('Références et calculs'!$A$2,,,COUNTA('Références et calculs'!$D:$D)-7)</definedName>
    <definedName name="Main_d_œuvre">'Références et calculs'!$B$9</definedName>
    <definedName name="plateau_12">'Références et calculs'!$B$19</definedName>
    <definedName name="Presse">'Références et calculs'!$B$23</definedName>
    <definedName name="prix_effluent_elev_départferme">'Références et calculs'!$H$46</definedName>
    <definedName name="ref_PRO">'Références et calculs'!$A$2:$L$6</definedName>
    <definedName name="Tonne_à_lisier_15_16_m3">'Références et calculs'!$B$26</definedName>
    <definedName name="Tps_att_charg_B18t">'Références et calculs'!$B$54</definedName>
    <definedName name="Tps_charg_ependfum">'Références et calculs'!$B$55</definedName>
    <definedName name="Tps_charg_plat_paille">'Références et calculs'!$B$52</definedName>
    <definedName name="Tps_décharg_paille">'Références et calculs'!$B$53</definedName>
    <definedName name="Tps_pomp_lisier">'Références et calculs'!$B$58</definedName>
    <definedName name="Tps_vid_epend_fum">'Références et calculs'!$B$56</definedName>
    <definedName name="Tps_vid_lisier">'Références et calculs'!$B$59</definedName>
    <definedName name="Tracteur_100">'Références et calculs'!$B$11</definedName>
    <definedName name="Tracteur_120">'Références et calculs'!$B$12</definedName>
    <definedName name="Tracteur_130">'Références et calculs'!$B$13</definedName>
    <definedName name="Tracteur_150">'Références et calculs'!$B$14</definedName>
    <definedName name="Vitesse_moy_route">'Références et calculs'!$B$57</definedName>
    <definedName name="_xlnm.Print_Area" localSheetId="0">'Formulaire de saisie'!$A$1:$H$60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G7" i="1" l="1"/>
  <c r="G45" i="2"/>
  <c r="G44" i="2"/>
  <c r="G43" i="2"/>
  <c r="G42" i="2"/>
  <c r="G41" i="2"/>
  <c r="B36" i="2" l="1"/>
  <c r="D29" i="1"/>
  <c r="C28" i="1"/>
  <c r="C29" i="1" s="1"/>
  <c r="B35" i="2"/>
  <c r="B51" i="2"/>
  <c r="B33" i="2" s="1"/>
  <c r="B24" i="2"/>
  <c r="B23" i="2"/>
  <c r="B32" i="2" s="1"/>
  <c r="F47" i="1"/>
  <c r="F44" i="2"/>
  <c r="F43" i="2"/>
  <c r="F42" i="2"/>
  <c r="F41" i="2"/>
  <c r="F45" i="2"/>
  <c r="B44" i="2"/>
  <c r="E44" i="2" s="1"/>
  <c r="B43" i="2"/>
  <c r="B42" i="2"/>
  <c r="B41" i="2"/>
  <c r="E41" i="2" s="1"/>
  <c r="F39" i="2"/>
  <c r="B37" i="2"/>
  <c r="B34" i="2"/>
  <c r="F4" i="2"/>
  <c r="E4" i="2"/>
  <c r="D4" i="2"/>
  <c r="C4" i="2"/>
  <c r="B4" i="2"/>
  <c r="F29" i="1" l="1"/>
  <c r="F28" i="1"/>
  <c r="F46" i="1"/>
  <c r="F45" i="1"/>
  <c r="F43" i="1"/>
  <c r="F44" i="1"/>
  <c r="E43" i="2"/>
  <c r="E42" i="2"/>
  <c r="B45" i="2" l="1"/>
  <c r="E45" i="2" s="1"/>
  <c r="E46" i="2" s="1"/>
  <c r="H44" i="2"/>
  <c r="H41" i="2"/>
  <c r="H42" i="2"/>
  <c r="H43" i="2"/>
  <c r="H45" i="2" l="1"/>
  <c r="H46" i="2" s="1"/>
  <c r="E29" i="1" s="1"/>
  <c r="C30" i="1" s="1"/>
  <c r="B32" i="1" s="1"/>
  <c r="E28" i="1" l="1"/>
</calcChain>
</file>

<file path=xl/comments1.xml><?xml version="1.0" encoding="utf-8"?>
<comments xmlns="http://schemas.openxmlformats.org/spreadsheetml/2006/main">
  <authors>
    <author>Julien GAILLARD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Julien GAILLARD:</t>
        </r>
        <r>
          <rPr>
            <sz val="9"/>
            <color indexed="81"/>
            <rFont val="Tahoma"/>
            <family val="2"/>
          </rPr>
          <t xml:space="preserve">
apport d'été-automne sur culture à cycle long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Julien GAILLARD:</t>
        </r>
        <r>
          <rPr>
            <sz val="9"/>
            <color indexed="81"/>
            <rFont val="Tahoma"/>
            <family val="2"/>
          </rPr>
          <t xml:space="preserve">
apport d'été-automne sur culture à cycle long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Julien GAILLARD:</t>
        </r>
        <r>
          <rPr>
            <sz val="9"/>
            <color indexed="81"/>
            <rFont val="Tahoma"/>
            <family val="2"/>
          </rPr>
          <t xml:space="preserve">
apport d'été-automne sur culture à cycle long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Julien GAILLARD:</t>
        </r>
        <r>
          <rPr>
            <sz val="9"/>
            <color indexed="81"/>
            <rFont val="Tahoma"/>
            <family val="2"/>
          </rPr>
          <t xml:space="preserve">
apport de printemps sur culture à cycle long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Julien GAILLARD:</t>
        </r>
        <r>
          <rPr>
            <sz val="9"/>
            <color indexed="81"/>
            <rFont val="Tahoma"/>
            <family val="2"/>
          </rPr>
          <t xml:space="preserve">
apport de printemps sur culture à cycle long</t>
        </r>
      </text>
    </comment>
  </commentList>
</comments>
</file>

<file path=xl/sharedStrings.xml><?xml version="1.0" encoding="utf-8"?>
<sst xmlns="http://schemas.openxmlformats.org/spreadsheetml/2006/main" count="121" uniqueCount="99">
  <si>
    <t>Echange paille - engrais de ferme 2020</t>
  </si>
  <si>
    <t>Fumier de bovins</t>
  </si>
  <si>
    <t xml:space="preserve">Fumier de cheval curage hebdomadaire </t>
  </si>
  <si>
    <t>Distance entre l'élevage et la parcelle</t>
  </si>
  <si>
    <t>km</t>
  </si>
  <si>
    <t>Prix de la paille en andain</t>
  </si>
  <si>
    <t>€/t</t>
  </si>
  <si>
    <t>M.O.</t>
  </si>
  <si>
    <t>N</t>
  </si>
  <si>
    <t>P2O5</t>
  </si>
  <si>
    <t>K2O</t>
  </si>
  <si>
    <t>MgO</t>
  </si>
  <si>
    <t>Teneurs en éléments fertilisants de l'engrais de ferme</t>
  </si>
  <si>
    <t>Matière organique</t>
  </si>
  <si>
    <t>Unité</t>
  </si>
  <si>
    <t>Valeur par défaut</t>
  </si>
  <si>
    <t>Votre engrais</t>
  </si>
  <si>
    <t>BARÊME D'ENTRAIDE</t>
  </si>
  <si>
    <t>coût horaire</t>
  </si>
  <si>
    <t xml:space="preserve"> K1 M.O.</t>
  </si>
  <si>
    <t>Type effluent</t>
  </si>
  <si>
    <t>Main d'œuvre (€/h)</t>
  </si>
  <si>
    <t>F</t>
  </si>
  <si>
    <t>Tracteur (coût horaire avec carburant)</t>
  </si>
  <si>
    <t>Fumier de volailles</t>
  </si>
  <si>
    <t>Tracteur categorie A - 100 cv - 700 h/an</t>
  </si>
  <si>
    <t>Tracteur catégorie B - 120 cv - 700 h/an</t>
  </si>
  <si>
    <t>Lisier de bovins purs couvert</t>
  </si>
  <si>
    <t>L</t>
  </si>
  <si>
    <t>Tracteur catégorie B - 130 cv - 700 h/an</t>
  </si>
  <si>
    <t>lisier de bovins dilués</t>
  </si>
  <si>
    <t>Tracteur catégorie C - 150 cv - 700 h/an</t>
  </si>
  <si>
    <t>Manutention</t>
  </si>
  <si>
    <t>Chargeur frontal 2 fonctions (300 h/an)</t>
  </si>
  <si>
    <t>Chargeur télescopique 110 cv (700h/an)</t>
  </si>
  <si>
    <t>Transport</t>
  </si>
  <si>
    <t>Plateau 12 m 20 tonnes 6 roues (160 h/an)</t>
  </si>
  <si>
    <t>Benne 18t 2 essieux (175h/an)</t>
  </si>
  <si>
    <t>Fenaison</t>
  </si>
  <si>
    <t>Effluents d'élevages</t>
  </si>
  <si>
    <t>Tonne à lisier 15,5 m3, buse arrière simple (600 voyages/an)</t>
  </si>
  <si>
    <t>Epandeur 12-14 t (500 voyages/an)</t>
  </si>
  <si>
    <t>Prix de la paille par défaut</t>
  </si>
  <si>
    <t>Hypothèses de calcul</t>
  </si>
  <si>
    <t>Temps attente chargement benne fumier 18 t</t>
  </si>
  <si>
    <t>Temps de chargement épandeur fumier</t>
  </si>
  <si>
    <t>Temps de vidange épandeur fumier</t>
  </si>
  <si>
    <t xml:space="preserve">Vitesse moyenne transport tracteur </t>
  </si>
  <si>
    <t>Temps de pompage de la tonne à lisier</t>
  </si>
  <si>
    <t>Coûts des travaux calculés</t>
  </si>
  <si>
    <t>Temps de vidange de la tonne à lisier</t>
  </si>
  <si>
    <t>Pressage</t>
  </si>
  <si>
    <t>Transport de la paille</t>
  </si>
  <si>
    <t>Transport du fumier par l'éleveur</t>
  </si>
  <si>
    <t>Transport du fumier par le céréalier</t>
  </si>
  <si>
    <t>Transport et épandage du lisier</t>
  </si>
  <si>
    <t>Epandage du fumier</t>
  </si>
  <si>
    <t>Valeurs agronomiques de la paille et du fumier</t>
  </si>
  <si>
    <t>Prix unitaire</t>
  </si>
  <si>
    <t>Paille</t>
  </si>
  <si>
    <t>Teneurs</t>
  </si>
  <si>
    <t>Prix</t>
  </si>
  <si>
    <t>M.O. =&gt; Humus (M.O.*K1 du modèle AMG)</t>
  </si>
  <si>
    <t>TOTAL</t>
  </si>
  <si>
    <t>Gestion de la paille</t>
  </si>
  <si>
    <t>Pressage et transport réalisé par le céréalier</t>
  </si>
  <si>
    <t>Pressage et transport réalisé par l'éleveur</t>
  </si>
  <si>
    <t>Pressage réalisé par le céréalier, transport par l'éleveur</t>
  </si>
  <si>
    <t>Transport et épandage réalisé par le céréalier</t>
  </si>
  <si>
    <t>Transport et épandage réalisé par l'éleveur</t>
  </si>
  <si>
    <t>Transport réalisé par l'éleveur, épandage par le céréalier</t>
  </si>
  <si>
    <t>Ficelle 180</t>
  </si>
  <si>
    <t>Presse balles rondes chambre variable 120x180 (2300 balles/an)</t>
  </si>
  <si>
    <t>Temps de chargement paille plateau 12 m</t>
  </si>
  <si>
    <t>Temps de déchargement paille plateau 12 m</t>
  </si>
  <si>
    <t>Poids d'une balle de paille</t>
  </si>
  <si>
    <t>Performance de pressage</t>
  </si>
  <si>
    <t>Capacité de chargement en paille du plateau</t>
  </si>
  <si>
    <t>Benne 13t 2 essieux (175 h/an)</t>
  </si>
  <si>
    <t>Coef.</t>
  </si>
  <si>
    <t>keq P2O5</t>
  </si>
  <si>
    <t>keq K2O</t>
  </si>
  <si>
    <t>keq MgO</t>
  </si>
  <si>
    <t>keq N</t>
  </si>
  <si>
    <t>Engrais de ferme</t>
  </si>
  <si>
    <t>Prix de base</t>
  </si>
  <si>
    <t>Prix ajusté</t>
  </si>
  <si>
    <t>€/t en andain</t>
  </si>
  <si>
    <t>ratio P/F</t>
  </si>
  <si>
    <t>Gestion de l'engrais</t>
  </si>
  <si>
    <t>Calculs établis sur base du barême d'entraide 2019-2020. Assolement et stratégies récolte 2020</t>
  </si>
  <si>
    <t>Mise à jour : 08/06/2020</t>
  </si>
  <si>
    <t>Type d'engrais de ferme</t>
  </si>
  <si>
    <t>calcul du ratio équitable</t>
  </si>
  <si>
    <t>Paramètres</t>
  </si>
  <si>
    <t>Prix unitaires des éléments fertilisants</t>
  </si>
  <si>
    <t>Eléments</t>
  </si>
  <si>
    <t>Prix  de l'unité</t>
  </si>
  <si>
    <t>Teneurs en éléments fertilisants par défaut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</si>
</sst>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164" formatCode="0.0"/>
    <numFmt numFmtId="165" formatCode="#,##0.00&quot; €/t&quot;"/>
    <numFmt numFmtId="166" formatCode="#,##0&quot; mn&quot;"/>
    <numFmt numFmtId="167" formatCode="#,##0.00\ &quot;€&quot;"/>
    <numFmt numFmtId="168" formatCode="#,##0&quot; km/h&quot;"/>
    <numFmt numFmtId="169" formatCode="#,##0.00&quot; €/m3&quot;"/>
    <numFmt numFmtId="170" formatCode="#,##0.000\ &quot;€&quot;"/>
    <numFmt numFmtId="171" formatCode="0&quot; kg&quot;"/>
    <numFmt numFmtId="172" formatCode="0&quot; balles/h&quot;"/>
    <numFmt numFmtId="173" formatCode="0.0&quot; t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indexed="62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62"/>
      <name val="Calibri"/>
      <family val="2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ill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0" fillId="0" borderId="0" xfId="0" applyBorder="1"/>
    <xf numFmtId="0" fontId="0" fillId="3" borderId="3" xfId="0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0" borderId="12" xfId="0" applyBorder="1"/>
    <xf numFmtId="44" fontId="6" fillId="0" borderId="13" xfId="2" applyFont="1" applyFill="1" applyBorder="1" applyProtection="1"/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Alignment="1">
      <alignment horizontal="center"/>
    </xf>
    <xf numFmtId="0" fontId="7" fillId="0" borderId="17" xfId="0" applyFont="1" applyBorder="1"/>
    <xf numFmtId="44" fontId="6" fillId="0" borderId="18" xfId="2" applyFont="1" applyFill="1" applyBorder="1" applyProtection="1"/>
    <xf numFmtId="0" fontId="0" fillId="0" borderId="17" xfId="0" applyBorder="1"/>
    <xf numFmtId="164" fontId="0" fillId="0" borderId="3" xfId="0" applyNumberFormat="1" applyFill="1" applyBorder="1" applyAlignment="1">
      <alignment horizontal="center"/>
    </xf>
    <xf numFmtId="0" fontId="4" fillId="0" borderId="0" xfId="0" applyFont="1"/>
    <xf numFmtId="0" fontId="0" fillId="0" borderId="17" xfId="0" applyFill="1" applyBorder="1"/>
    <xf numFmtId="0" fontId="7" fillId="0" borderId="17" xfId="0" applyFont="1" applyFill="1" applyBorder="1"/>
    <xf numFmtId="44" fontId="8" fillId="0" borderId="18" xfId="2" applyFont="1" applyFill="1" applyBorder="1" applyProtection="1"/>
    <xf numFmtId="0" fontId="0" fillId="0" borderId="19" xfId="0" applyFill="1" applyBorder="1"/>
    <xf numFmtId="44" fontId="6" fillId="0" borderId="20" xfId="2" applyFont="1" applyFill="1" applyBorder="1" applyProtection="1"/>
    <xf numFmtId="165" fontId="6" fillId="0" borderId="11" xfId="2" applyNumberFormat="1" applyFont="1" applyFill="1" applyBorder="1" applyProtection="1"/>
    <xf numFmtId="166" fontId="0" fillId="0" borderId="18" xfId="0" applyNumberFormat="1" applyFill="1" applyBorder="1"/>
    <xf numFmtId="0" fontId="0" fillId="0" borderId="19" xfId="0" applyBorder="1"/>
    <xf numFmtId="168" fontId="6" fillId="0" borderId="18" xfId="0" applyNumberFormat="1" applyFont="1" applyBorder="1"/>
    <xf numFmtId="0" fontId="0" fillId="5" borderId="12" xfId="0" applyFill="1" applyBorder="1"/>
    <xf numFmtId="167" fontId="0" fillId="5" borderId="13" xfId="0" applyNumberFormat="1" applyFill="1" applyBorder="1"/>
    <xf numFmtId="166" fontId="0" fillId="0" borderId="20" xfId="0" applyNumberFormat="1" applyFill="1" applyBorder="1"/>
    <xf numFmtId="165" fontId="9" fillId="0" borderId="13" xfId="0" applyNumberFormat="1" applyFont="1" applyBorder="1"/>
    <xf numFmtId="0" fontId="5" fillId="0" borderId="0" xfId="0" applyFont="1" applyFill="1"/>
    <xf numFmtId="165" fontId="9" fillId="0" borderId="18" xfId="2" applyNumberFormat="1" applyFont="1" applyBorder="1"/>
    <xf numFmtId="169" fontId="9" fillId="0" borderId="18" xfId="2" applyNumberFormat="1" applyFont="1" applyBorder="1"/>
    <xf numFmtId="165" fontId="9" fillId="0" borderId="20" xfId="2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/>
    <xf numFmtId="167" fontId="0" fillId="0" borderId="0" xfId="0" applyNumberFormat="1" applyBorder="1"/>
    <xf numFmtId="167" fontId="9" fillId="0" borderId="0" xfId="0" applyNumberFormat="1" applyFont="1" applyBorder="1"/>
    <xf numFmtId="0" fontId="0" fillId="0" borderId="3" xfId="0" applyBorder="1" applyAlignment="1">
      <alignment horizontal="center"/>
    </xf>
    <xf numFmtId="0" fontId="0" fillId="3" borderId="3" xfId="0" applyFill="1" applyBorder="1" applyAlignment="1" applyProtection="1">
      <protection locked="0"/>
    </xf>
    <xf numFmtId="0" fontId="0" fillId="5" borderId="4" xfId="0" applyFill="1" applyBorder="1" applyProtection="1"/>
    <xf numFmtId="0" fontId="0" fillId="5" borderId="23" xfId="0" applyFill="1" applyBorder="1" applyAlignment="1" applyProtection="1">
      <alignment horizontal="center"/>
    </xf>
    <xf numFmtId="0" fontId="0" fillId="5" borderId="24" xfId="0" applyFill="1" applyBorder="1" applyAlignment="1" applyProtection="1">
      <alignment horizontal="center"/>
    </xf>
    <xf numFmtId="0" fontId="0" fillId="0" borderId="33" xfId="0" applyBorder="1" applyProtection="1"/>
    <xf numFmtId="0" fontId="0" fillId="0" borderId="32" xfId="0" applyFill="1" applyBorder="1" applyAlignment="1">
      <alignment horizontal="center"/>
    </xf>
    <xf numFmtId="0" fontId="0" fillId="0" borderId="34" xfId="0" applyBorder="1" applyProtection="1"/>
    <xf numFmtId="0" fontId="0" fillId="0" borderId="35" xfId="0" applyBorder="1" applyProtection="1"/>
    <xf numFmtId="0" fontId="0" fillId="0" borderId="9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171" fontId="0" fillId="0" borderId="18" xfId="0" applyNumberFormat="1" applyBorder="1"/>
    <xf numFmtId="172" fontId="0" fillId="0" borderId="18" xfId="0" applyNumberFormat="1" applyBorder="1"/>
    <xf numFmtId="173" fontId="0" fillId="0" borderId="18" xfId="0" applyNumberFormat="1" applyBorder="1"/>
    <xf numFmtId="0" fontId="0" fillId="0" borderId="17" xfId="0" applyFill="1" applyBorder="1" applyAlignment="1"/>
    <xf numFmtId="167" fontId="0" fillId="0" borderId="14" xfId="0" applyNumberForma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67" fontId="0" fillId="0" borderId="3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0" borderId="32" xfId="0" applyNumberFormat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67" fontId="9" fillId="0" borderId="28" xfId="0" applyNumberFormat="1" applyFont="1" applyBorder="1" applyAlignment="1">
      <alignment horizontal="center"/>
    </xf>
    <xf numFmtId="167" fontId="0" fillId="0" borderId="0" xfId="0" applyNumberFormat="1" applyFill="1" applyBorder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Fill="1" applyBorder="1" applyAlignment="1" applyProtection="1"/>
    <xf numFmtId="0" fontId="0" fillId="0" borderId="0" xfId="0" applyBorder="1" applyProtection="1"/>
    <xf numFmtId="0" fontId="0" fillId="0" borderId="3" xfId="0" applyBorder="1" applyProtection="1"/>
    <xf numFmtId="2" fontId="0" fillId="0" borderId="3" xfId="0" applyNumberFormat="1" applyBorder="1" applyProtection="1"/>
    <xf numFmtId="2" fontId="2" fillId="0" borderId="3" xfId="0" applyNumberFormat="1" applyFont="1" applyBorder="1" applyProtection="1"/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/>
    <xf numFmtId="0" fontId="2" fillId="0" borderId="0" xfId="0" applyFont="1" applyFill="1" applyBorder="1" applyAlignment="1" applyProtection="1"/>
    <xf numFmtId="0" fontId="0" fillId="0" borderId="3" xfId="0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5" fontId="6" fillId="0" borderId="3" xfId="2" applyNumberFormat="1" applyFont="1" applyFill="1" applyBorder="1" applyAlignment="1" applyProtection="1">
      <alignment horizontal="center"/>
    </xf>
    <xf numFmtId="167" fontId="0" fillId="3" borderId="3" xfId="1" applyNumberFormat="1" applyFont="1" applyFill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5" borderId="21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165" fontId="6" fillId="0" borderId="5" xfId="2" applyNumberFormat="1" applyFont="1" applyBorder="1" applyAlignment="1">
      <alignment horizontal="center" vertical="center"/>
    </xf>
    <xf numFmtId="165" fontId="6" fillId="0" borderId="27" xfId="2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3">
    <cellStyle name="Monétaire" xfId="1" builtinId="4"/>
    <cellStyle name="Monétaire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4</xdr:row>
      <xdr:rowOff>19050</xdr:rowOff>
    </xdr:to>
    <xdr:pic>
      <xdr:nvPicPr>
        <xdr:cNvPr id="4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workbookViewId="0">
      <selection activeCell="C7" sqref="C7:E7"/>
    </sheetView>
  </sheetViews>
  <sheetFormatPr baseColWidth="10" defaultRowHeight="15" x14ac:dyDescent="0.25"/>
  <cols>
    <col min="1" max="1" width="10.140625" style="71" customWidth="1"/>
    <col min="2" max="2" width="14.28515625" style="71" customWidth="1"/>
    <col min="3" max="3" width="17.7109375" style="71" customWidth="1"/>
    <col min="4" max="4" width="20" style="71" bestFit="1" customWidth="1"/>
    <col min="5" max="5" width="17" style="71" customWidth="1"/>
    <col min="6" max="6" width="20" style="71" customWidth="1"/>
    <col min="7" max="7" width="11.42578125" style="71" hidden="1" customWidth="1"/>
    <col min="8" max="8" width="10.140625" style="71" customWidth="1"/>
    <col min="9" max="16384" width="11.42578125" style="71"/>
  </cols>
  <sheetData>
    <row r="1" spans="1:8" x14ac:dyDescent="0.25">
      <c r="A1" s="100" t="s">
        <v>0</v>
      </c>
      <c r="B1" s="100"/>
      <c r="C1" s="100"/>
      <c r="D1" s="100"/>
      <c r="E1" s="100"/>
      <c r="F1" s="100"/>
      <c r="G1" s="100"/>
      <c r="H1" s="100"/>
    </row>
    <row r="2" spans="1:8" x14ac:dyDescent="0.25">
      <c r="A2" s="101"/>
      <c r="B2" s="101"/>
      <c r="C2" s="101"/>
      <c r="D2" s="101"/>
      <c r="E2" s="101"/>
      <c r="F2" s="101"/>
      <c r="G2" s="101"/>
      <c r="H2" s="101"/>
    </row>
    <row r="7" spans="1:8" x14ac:dyDescent="0.25">
      <c r="A7" s="72" t="s">
        <v>92</v>
      </c>
      <c r="C7" s="98" t="s">
        <v>1</v>
      </c>
      <c r="D7" s="98"/>
      <c r="E7" s="98"/>
      <c r="F7" s="73"/>
      <c r="G7" s="73" t="str">
        <f>VLOOKUP(C7,ref_PRO,12,0)</f>
        <v>F</v>
      </c>
      <c r="H7" s="73"/>
    </row>
    <row r="9" spans="1:8" x14ac:dyDescent="0.25">
      <c r="A9" s="72" t="s">
        <v>3</v>
      </c>
      <c r="D9" s="42"/>
      <c r="E9" s="71" t="s">
        <v>4</v>
      </c>
    </row>
    <row r="11" spans="1:8" x14ac:dyDescent="0.25">
      <c r="A11" s="72" t="s">
        <v>5</v>
      </c>
      <c r="D11" s="42"/>
      <c r="E11" s="71" t="s">
        <v>6</v>
      </c>
    </row>
    <row r="13" spans="1:8" x14ac:dyDescent="0.25">
      <c r="A13" s="72" t="s">
        <v>64</v>
      </c>
      <c r="C13" s="98" t="s">
        <v>66</v>
      </c>
      <c r="D13" s="98"/>
      <c r="E13" s="98"/>
    </row>
    <row r="14" spans="1:8" hidden="1" x14ac:dyDescent="0.25">
      <c r="A14" s="72"/>
      <c r="C14" s="71" t="s">
        <v>66</v>
      </c>
    </row>
    <row r="15" spans="1:8" hidden="1" x14ac:dyDescent="0.25">
      <c r="A15" s="72"/>
      <c r="C15" s="71" t="s">
        <v>65</v>
      </c>
    </row>
    <row r="16" spans="1:8" hidden="1" x14ac:dyDescent="0.25">
      <c r="A16" s="72"/>
      <c r="C16" s="71" t="s">
        <v>67</v>
      </c>
    </row>
    <row r="18" spans="1:10" x14ac:dyDescent="0.25">
      <c r="A18" s="72" t="s">
        <v>89</v>
      </c>
      <c r="C18" s="98" t="s">
        <v>68</v>
      </c>
      <c r="D18" s="98"/>
      <c r="E18" s="98"/>
    </row>
    <row r="19" spans="1:10" hidden="1" x14ac:dyDescent="0.25">
      <c r="C19" s="71" t="s">
        <v>68</v>
      </c>
    </row>
    <row r="20" spans="1:10" hidden="1" x14ac:dyDescent="0.25">
      <c r="C20" s="71" t="s">
        <v>69</v>
      </c>
    </row>
    <row r="21" spans="1:10" hidden="1" x14ac:dyDescent="0.25">
      <c r="C21" s="71" t="s">
        <v>70</v>
      </c>
    </row>
    <row r="23" spans="1:10" x14ac:dyDescent="0.25">
      <c r="A23" s="74"/>
      <c r="B23" s="74"/>
      <c r="C23" s="74"/>
      <c r="D23" s="74"/>
      <c r="E23" s="74"/>
      <c r="F23" s="74"/>
      <c r="G23" s="74"/>
      <c r="H23" s="74"/>
    </row>
    <row r="24" spans="1:10" x14ac:dyDescent="0.25">
      <c r="A24" s="97" t="s">
        <v>93</v>
      </c>
      <c r="B24" s="97"/>
      <c r="C24" s="97"/>
      <c r="D24" s="97"/>
      <c r="E24" s="97"/>
      <c r="F24" s="97"/>
      <c r="G24" s="97"/>
      <c r="H24" s="97"/>
    </row>
    <row r="26" spans="1:10" x14ac:dyDescent="0.25">
      <c r="A26" s="72"/>
    </row>
    <row r="27" spans="1:10" x14ac:dyDescent="0.25">
      <c r="C27" s="99" t="s">
        <v>59</v>
      </c>
      <c r="D27" s="99"/>
      <c r="E27" s="99" t="s">
        <v>84</v>
      </c>
      <c r="F27" s="99"/>
    </row>
    <row r="28" spans="1:10" x14ac:dyDescent="0.25">
      <c r="B28" s="75" t="s">
        <v>85</v>
      </c>
      <c r="C28" s="76">
        <f>IF(D11="",'Références et calculs'!$B$29,D11)</f>
        <v>20</v>
      </c>
      <c r="D28" s="75" t="s">
        <v>87</v>
      </c>
      <c r="E28" s="76">
        <f>prix_effluent_elev_départferme</f>
        <v>14.754861916597626</v>
      </c>
      <c r="F28" s="75" t="str">
        <f>CONCATENATE(IF($G$7="F","€/t","€/m³")," départ ferme")</f>
        <v>€/t départ ferme</v>
      </c>
    </row>
    <row r="29" spans="1:10" x14ac:dyDescent="0.25">
      <c r="B29" s="75" t="s">
        <v>86</v>
      </c>
      <c r="C29" s="77">
        <f>IF(C13="","",IF(C13="Pressage et transport réalisé par l'éleveur",C28,IF(C13="Pressage et transport réalisé par le céréalier",C28+coût_pressage+coût_transport_paille,IF(C13="Pressage réalisé par le céréalier, transport par l'éleveur",C28+coût_pressage))))</f>
        <v>20</v>
      </c>
      <c r="D29" s="75" t="str">
        <f>CONCATENATE("€/t ",IF(C13="","",IF(C13="Pressage et transport réalisé par l'éleveur","en andain",IF(C13="Pressage et transport réalisé par le céréalier","pressée livrée",IF(C13="Pressage réalisé par le céréalier, transport par l'éleveur","pressée au champ")))))</f>
        <v>€/t en andain</v>
      </c>
      <c r="E29" s="77">
        <f>IF(C18="","",IF(C18="Transport et épandage réalisé par le céréalier",prix_effluent_elev_départferme,IF(C18="Transport et épandage réalisé par l'éleveur",IF($G$7="F",prix_effluent_elev_départferme+coût_transport_fumier+coût_épandage_fumier,prix_effluent_elev_départferme+Coût_transport_et_épandage_du_lisier),IF(C18="Transport réalisé par l'éleveur, épandage par le céréalier",IF($G$7="F",prix_effluent_elev_départferme+coût_transport_fumier,"")))))</f>
        <v>14.754861916597626</v>
      </c>
      <c r="F29" s="75" t="str">
        <f>CONCATENATE(IF($G$7="F","€/t","€/m³"),IF(C18="","",IF(C18="Transport et épandage réalisé par le céréalier"," départ ferme",IF(C18="Transport et épandage réalisé par l'éleveur"," livré et épandu",IF(C18="Transport réalisé par l'éleveur, épandage par le céréalier"," livré au champ")))))</f>
        <v>€/t départ ferme</v>
      </c>
    </row>
    <row r="30" spans="1:10" x14ac:dyDescent="0.25">
      <c r="B30" s="78" t="s">
        <v>88</v>
      </c>
      <c r="C30" s="86">
        <f>IF(E29="","",C29/E29)</f>
        <v>1.3554854063054402</v>
      </c>
      <c r="D30" s="86"/>
      <c r="E30" s="86"/>
      <c r="F30" s="86"/>
    </row>
    <row r="32" spans="1:10" ht="15" customHeight="1" x14ac:dyDescent="0.25">
      <c r="B32" s="87" t="str">
        <f>IF(D9="","saisie incomplète",IF($G$7="L",IF(C30="","saisie incomplète",CONCATENATE("échange conseillé: 1 tonne de paille pour ",ROUND(C30,2), " m³ de lisier ")),IF(C30&lt;1,CONCATENATE("achat/vente du fumier conseillé à ",ROUND(E29,2)," €/t"),IF(C30&gt;3,CONCATENATE("achat/vente de la paille conseillée (quantité de fumier produite sur l'élevage insuffisante) à ",ROUND(C29,2)," €/t"),CONCATENATE("échange conseillé : 1 tonne de paille pour ",ROUND(C30,2)," tonnes de fumier ou achat/vente du fumier à ",ROUND(E29,2)," €/t")))))</f>
        <v>saisie incomplète</v>
      </c>
      <c r="C32" s="88"/>
      <c r="D32" s="88"/>
      <c r="E32" s="88"/>
      <c r="F32" s="89"/>
      <c r="G32" s="79"/>
      <c r="H32" s="79"/>
      <c r="I32" s="79"/>
      <c r="J32" s="79"/>
    </row>
    <row r="33" spans="1:9" ht="15" customHeight="1" x14ac:dyDescent="0.25">
      <c r="B33" s="90"/>
      <c r="C33" s="91"/>
      <c r="D33" s="91"/>
      <c r="E33" s="91"/>
      <c r="F33" s="92"/>
      <c r="G33" s="79"/>
      <c r="H33" s="79"/>
      <c r="I33" s="79"/>
    </row>
    <row r="34" spans="1:9" x14ac:dyDescent="0.25">
      <c r="B34" s="93"/>
      <c r="C34" s="94"/>
      <c r="D34" s="94"/>
      <c r="E34" s="94"/>
      <c r="F34" s="95"/>
    </row>
    <row r="37" spans="1:9" x14ac:dyDescent="0.25">
      <c r="A37" s="97" t="s">
        <v>94</v>
      </c>
      <c r="B37" s="97"/>
      <c r="C37" s="97"/>
      <c r="D37" s="97"/>
      <c r="E37" s="97"/>
      <c r="F37" s="97"/>
      <c r="G37" s="97"/>
      <c r="H37" s="97"/>
    </row>
    <row r="40" spans="1:9" x14ac:dyDescent="0.25">
      <c r="A40" s="80" t="s">
        <v>12</v>
      </c>
      <c r="D40" s="80"/>
      <c r="E40" s="80"/>
      <c r="F40" s="80"/>
    </row>
    <row r="42" spans="1:9" x14ac:dyDescent="0.25">
      <c r="D42" s="81" t="s">
        <v>16</v>
      </c>
      <c r="E42" s="82" t="s">
        <v>15</v>
      </c>
      <c r="F42" s="81" t="s">
        <v>14</v>
      </c>
    </row>
    <row r="43" spans="1:9" x14ac:dyDescent="0.25">
      <c r="C43" s="81" t="s">
        <v>13</v>
      </c>
      <c r="D43" s="6"/>
      <c r="E43" s="83">
        <f>VLOOKUP($C$7,ref_PRO,6,0)</f>
        <v>180</v>
      </c>
      <c r="F43" s="81" t="str">
        <f>IF($G$7="F","kg/t","kg/m³")</f>
        <v>kg/t</v>
      </c>
    </row>
    <row r="44" spans="1:9" x14ac:dyDescent="0.25">
      <c r="C44" s="81" t="s">
        <v>8</v>
      </c>
      <c r="D44" s="6"/>
      <c r="E44" s="83">
        <f>VLOOKUP($C$7,ref_PRO,2,0)</f>
        <v>5.8</v>
      </c>
      <c r="F44" s="81" t="str">
        <f>IF($G$7="F","kg/t","kg/m³")</f>
        <v>kg/t</v>
      </c>
    </row>
    <row r="45" spans="1:9" x14ac:dyDescent="0.25">
      <c r="C45" s="81" t="s">
        <v>9</v>
      </c>
      <c r="D45" s="6"/>
      <c r="E45" s="83">
        <f>VLOOKUP($C$7,ref_PRO,3,0)</f>
        <v>2.2999999999999998</v>
      </c>
      <c r="F45" s="81" t="str">
        <f>IF($G$7="F","kg/t","kg/m³")</f>
        <v>kg/t</v>
      </c>
    </row>
    <row r="46" spans="1:9" x14ac:dyDescent="0.25">
      <c r="C46" s="81" t="s">
        <v>10</v>
      </c>
      <c r="D46" s="6"/>
      <c r="E46" s="83">
        <f>VLOOKUP($C$7,ref_PRO,4,0)</f>
        <v>9.6</v>
      </c>
      <c r="F46" s="81" t="str">
        <f>IF($G$7="F","kg/t","kg/m³")</f>
        <v>kg/t</v>
      </c>
    </row>
    <row r="47" spans="1:9" x14ac:dyDescent="0.25">
      <c r="C47" s="81" t="s">
        <v>11</v>
      </c>
      <c r="D47" s="6"/>
      <c r="E47" s="83">
        <f>VLOOKUP($C$7,ref_PRO,5,0)</f>
        <v>1.5</v>
      </c>
      <c r="F47" s="81" t="str">
        <f>IF($G$7="F","kg/t","kg/m³")</f>
        <v>kg/t</v>
      </c>
    </row>
    <row r="49" spans="1:6" x14ac:dyDescent="0.25">
      <c r="A49" s="72" t="s">
        <v>95</v>
      </c>
    </row>
    <row r="51" spans="1:6" x14ac:dyDescent="0.25">
      <c r="C51" s="10" t="s">
        <v>96</v>
      </c>
      <c r="D51" s="84" t="s">
        <v>97</v>
      </c>
    </row>
    <row r="52" spans="1:6" x14ac:dyDescent="0.25">
      <c r="C52" s="10" t="s">
        <v>8</v>
      </c>
      <c r="D52" s="85">
        <v>0.75</v>
      </c>
    </row>
    <row r="53" spans="1:6" x14ac:dyDescent="0.25">
      <c r="C53" s="10" t="s">
        <v>9</v>
      </c>
      <c r="D53" s="85">
        <v>0.75</v>
      </c>
    </row>
    <row r="54" spans="1:6" x14ac:dyDescent="0.25">
      <c r="C54" s="10" t="s">
        <v>10</v>
      </c>
      <c r="D54" s="85">
        <v>0.6</v>
      </c>
    </row>
    <row r="55" spans="1:6" x14ac:dyDescent="0.25">
      <c r="B55" s="74"/>
      <c r="C55" s="10" t="s">
        <v>11</v>
      </c>
      <c r="D55" s="85">
        <v>0.6</v>
      </c>
    </row>
    <row r="56" spans="1:6" x14ac:dyDescent="0.25">
      <c r="B56" s="74"/>
      <c r="C56" s="70"/>
    </row>
    <row r="57" spans="1:6" x14ac:dyDescent="0.25">
      <c r="B57" s="74"/>
      <c r="C57" s="70"/>
    </row>
    <row r="58" spans="1:6" x14ac:dyDescent="0.25">
      <c r="B58" s="74"/>
      <c r="C58" s="70"/>
    </row>
    <row r="59" spans="1:6" x14ac:dyDescent="0.25">
      <c r="B59" s="96" t="s">
        <v>90</v>
      </c>
      <c r="C59" s="96"/>
      <c r="D59" s="96"/>
      <c r="E59" s="96"/>
      <c r="F59" s="96"/>
    </row>
    <row r="60" spans="1:6" x14ac:dyDescent="0.25">
      <c r="B60" s="96" t="s">
        <v>91</v>
      </c>
      <c r="C60" s="96"/>
      <c r="D60" s="96"/>
      <c r="E60" s="96"/>
      <c r="F60" s="96"/>
    </row>
  </sheetData>
  <sheetProtection password="CC3A" sheet="1" objects="1" scenarios="1"/>
  <mergeCells count="12">
    <mergeCell ref="C18:E18"/>
    <mergeCell ref="C27:D27"/>
    <mergeCell ref="E27:F27"/>
    <mergeCell ref="A24:H24"/>
    <mergeCell ref="A1:H2"/>
    <mergeCell ref="C7:E7"/>
    <mergeCell ref="C13:E13"/>
    <mergeCell ref="C30:F30"/>
    <mergeCell ref="B32:F34"/>
    <mergeCell ref="B59:F59"/>
    <mergeCell ref="B60:F60"/>
    <mergeCell ref="A37:H37"/>
  </mergeCells>
  <dataValidations count="5">
    <dataValidation type="list" allowBlank="1" showInputMessage="1" showErrorMessage="1" sqref="C7">
      <formula1>liste_PRO</formula1>
    </dataValidation>
    <dataValidation allowBlank="1" showInputMessage="1" showErrorMessage="1" prompt="Saisie libre ou valeur par défaut" sqref="D11"/>
    <dataValidation allowBlank="1" showInputMessage="1" showErrorMessage="1" prompt="Saisie obligatoire" sqref="D9"/>
    <dataValidation type="list" allowBlank="1" showInputMessage="1" showErrorMessage="1" prompt="Saisie obligatoire" sqref="C18:E18">
      <formula1>$C$19:$C$21</formula1>
    </dataValidation>
    <dataValidation type="list" allowBlank="1" showInputMessage="1" showErrorMessage="1" prompt="Saisie obligatoire" sqref="C13:E13">
      <formula1>$C$14:$C$16</formula1>
    </dataValidation>
  </dataValidations>
  <pageMargins left="0.7" right="0.7" top="0.75" bottom="0.75" header="0.3" footer="0.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opLeftCell="A4" workbookViewId="0">
      <selection activeCell="B35" sqref="B35"/>
    </sheetView>
  </sheetViews>
  <sheetFormatPr baseColWidth="10" defaultRowHeight="15" x14ac:dyDescent="0.25"/>
  <cols>
    <col min="1" max="1" width="58.140625" bestFit="1" customWidth="1"/>
    <col min="2" max="2" width="13.28515625" customWidth="1"/>
    <col min="4" max="11" width="11.42578125" customWidth="1"/>
    <col min="12" max="12" width="13" bestFit="1" customWidth="1"/>
    <col min="13" max="13" width="10.140625" bestFit="1" customWidth="1"/>
    <col min="14" max="16" width="8.42578125" customWidth="1"/>
    <col min="17" max="17" width="13" bestFit="1" customWidth="1"/>
  </cols>
  <sheetData>
    <row r="1" spans="1:12" x14ac:dyDescent="0.25">
      <c r="A1" s="43" t="s">
        <v>98</v>
      </c>
      <c r="B1" s="44" t="s">
        <v>8</v>
      </c>
      <c r="C1" s="44" t="s">
        <v>9</v>
      </c>
      <c r="D1" s="44" t="s">
        <v>10</v>
      </c>
      <c r="E1" s="44" t="s">
        <v>11</v>
      </c>
      <c r="F1" s="44" t="s">
        <v>7</v>
      </c>
      <c r="G1" s="44" t="s">
        <v>83</v>
      </c>
      <c r="H1" s="44" t="s">
        <v>80</v>
      </c>
      <c r="I1" s="44" t="s">
        <v>81</v>
      </c>
      <c r="J1" s="44" t="s">
        <v>82</v>
      </c>
      <c r="K1" s="44" t="s">
        <v>19</v>
      </c>
      <c r="L1" s="45" t="s">
        <v>20</v>
      </c>
    </row>
    <row r="2" spans="1:12" x14ac:dyDescent="0.25">
      <c r="A2" s="46" t="s">
        <v>1</v>
      </c>
      <c r="B2" s="10">
        <v>5.8</v>
      </c>
      <c r="C2" s="10">
        <v>2.2999999999999998</v>
      </c>
      <c r="D2" s="10">
        <v>9.6</v>
      </c>
      <c r="E2" s="10">
        <v>1.5</v>
      </c>
      <c r="F2" s="10">
        <v>180</v>
      </c>
      <c r="G2" s="10">
        <v>0.2</v>
      </c>
      <c r="H2" s="10">
        <v>1</v>
      </c>
      <c r="I2" s="10">
        <v>1</v>
      </c>
      <c r="J2" s="10">
        <v>1</v>
      </c>
      <c r="K2" s="10">
        <v>0.35</v>
      </c>
      <c r="L2" s="47" t="s">
        <v>22</v>
      </c>
    </row>
    <row r="3" spans="1:12" x14ac:dyDescent="0.25">
      <c r="A3" s="48" t="s">
        <v>24</v>
      </c>
      <c r="B3" s="10">
        <v>29</v>
      </c>
      <c r="C3" s="10">
        <v>29</v>
      </c>
      <c r="D3" s="10">
        <v>20</v>
      </c>
      <c r="E3" s="10">
        <v>6</v>
      </c>
      <c r="F3" s="10">
        <v>465</v>
      </c>
      <c r="G3" s="10">
        <v>0.2</v>
      </c>
      <c r="H3" s="10">
        <v>0.65</v>
      </c>
      <c r="I3" s="10">
        <v>1</v>
      </c>
      <c r="J3" s="10">
        <v>1</v>
      </c>
      <c r="K3" s="10">
        <v>0.05</v>
      </c>
      <c r="L3" s="47" t="s">
        <v>22</v>
      </c>
    </row>
    <row r="4" spans="1:12" x14ac:dyDescent="0.25">
      <c r="A4" s="48" t="s">
        <v>2</v>
      </c>
      <c r="B4" s="15">
        <f>10.4*0.435</f>
        <v>4.524</v>
      </c>
      <c r="C4" s="15">
        <f>7.4*0.435</f>
        <v>3.2190000000000003</v>
      </c>
      <c r="D4" s="15">
        <f>17.3*0.435</f>
        <v>7.5255000000000001</v>
      </c>
      <c r="E4" s="15">
        <f>3.5*0.435</f>
        <v>1.5225</v>
      </c>
      <c r="F4" s="15">
        <f>377*0.435</f>
        <v>163.995</v>
      </c>
      <c r="G4" s="11">
        <v>0.2</v>
      </c>
      <c r="H4" s="11">
        <v>1</v>
      </c>
      <c r="I4" s="11">
        <v>1</v>
      </c>
      <c r="J4" s="11">
        <v>1</v>
      </c>
      <c r="K4" s="11">
        <v>0.35</v>
      </c>
      <c r="L4" s="47" t="s">
        <v>22</v>
      </c>
    </row>
    <row r="5" spans="1:12" x14ac:dyDescent="0.25">
      <c r="A5" s="48" t="s">
        <v>27</v>
      </c>
      <c r="B5" s="11">
        <v>4</v>
      </c>
      <c r="C5" s="11">
        <v>2</v>
      </c>
      <c r="D5" s="11">
        <v>5</v>
      </c>
      <c r="E5" s="11">
        <v>1</v>
      </c>
      <c r="F5" s="11">
        <v>80</v>
      </c>
      <c r="G5" s="11">
        <v>0.6</v>
      </c>
      <c r="H5" s="11">
        <v>1</v>
      </c>
      <c r="I5" s="11">
        <v>1</v>
      </c>
      <c r="J5" s="11">
        <v>1</v>
      </c>
      <c r="K5" s="11">
        <v>0.25</v>
      </c>
      <c r="L5" s="47" t="s">
        <v>28</v>
      </c>
    </row>
    <row r="6" spans="1:12" ht="15.75" thickBot="1" x14ac:dyDescent="0.3">
      <c r="A6" s="49" t="s">
        <v>30</v>
      </c>
      <c r="B6" s="50">
        <v>2.2000000000000002</v>
      </c>
      <c r="C6" s="50">
        <v>1</v>
      </c>
      <c r="D6" s="50">
        <v>2.2999999999999998</v>
      </c>
      <c r="E6" s="50">
        <v>0.6</v>
      </c>
      <c r="F6" s="50">
        <v>40</v>
      </c>
      <c r="G6" s="50">
        <v>0.6</v>
      </c>
      <c r="H6" s="50">
        <v>1</v>
      </c>
      <c r="I6" s="50">
        <v>1</v>
      </c>
      <c r="J6" s="50">
        <v>1</v>
      </c>
      <c r="K6" s="50">
        <v>0.25</v>
      </c>
      <c r="L6" s="51" t="s">
        <v>28</v>
      </c>
    </row>
    <row r="7" spans="1:12" ht="15.75" thickBot="1" x14ac:dyDescent="0.3"/>
    <row r="8" spans="1:12" ht="15.75" thickBot="1" x14ac:dyDescent="0.3">
      <c r="A8" s="7" t="s">
        <v>17</v>
      </c>
      <c r="B8" s="52" t="s">
        <v>18</v>
      </c>
    </row>
    <row r="9" spans="1:12" x14ac:dyDescent="0.25">
      <c r="A9" s="8" t="s">
        <v>21</v>
      </c>
      <c r="B9" s="9">
        <v>15.88</v>
      </c>
    </row>
    <row r="10" spans="1:12" x14ac:dyDescent="0.25">
      <c r="A10" s="12" t="s">
        <v>23</v>
      </c>
      <c r="B10" s="13"/>
    </row>
    <row r="11" spans="1:12" x14ac:dyDescent="0.25">
      <c r="A11" s="14" t="s">
        <v>25</v>
      </c>
      <c r="B11" s="13">
        <v>16.399999999999999</v>
      </c>
    </row>
    <row r="12" spans="1:12" x14ac:dyDescent="0.25">
      <c r="A12" s="14" t="s">
        <v>26</v>
      </c>
      <c r="B12" s="13">
        <v>20</v>
      </c>
    </row>
    <row r="13" spans="1:12" x14ac:dyDescent="0.25">
      <c r="A13" s="14" t="s">
        <v>29</v>
      </c>
      <c r="B13" s="13">
        <v>21.3</v>
      </c>
    </row>
    <row r="14" spans="1:12" x14ac:dyDescent="0.25">
      <c r="A14" s="14" t="s">
        <v>31</v>
      </c>
      <c r="B14" s="13">
        <v>27</v>
      </c>
    </row>
    <row r="15" spans="1:12" x14ac:dyDescent="0.25">
      <c r="A15" s="12" t="s">
        <v>32</v>
      </c>
      <c r="B15" s="13"/>
    </row>
    <row r="16" spans="1:12" x14ac:dyDescent="0.25">
      <c r="A16" s="14" t="s">
        <v>33</v>
      </c>
      <c r="B16" s="13">
        <v>3.6</v>
      </c>
    </row>
    <row r="17" spans="1:17" x14ac:dyDescent="0.25">
      <c r="A17" s="14" t="s">
        <v>34</v>
      </c>
      <c r="B17" s="13">
        <v>24.7</v>
      </c>
    </row>
    <row r="18" spans="1:17" x14ac:dyDescent="0.25">
      <c r="A18" s="12" t="s">
        <v>35</v>
      </c>
      <c r="B18" s="13"/>
      <c r="Q18" s="16"/>
    </row>
    <row r="19" spans="1:17" x14ac:dyDescent="0.25">
      <c r="A19" s="14" t="s">
        <v>36</v>
      </c>
      <c r="B19" s="13">
        <v>8</v>
      </c>
      <c r="Q19" s="16"/>
    </row>
    <row r="20" spans="1:17" x14ac:dyDescent="0.25">
      <c r="A20" s="14" t="s">
        <v>78</v>
      </c>
      <c r="B20" s="13">
        <v>0.56000000000000005</v>
      </c>
      <c r="Q20" s="16"/>
    </row>
    <row r="21" spans="1:17" x14ac:dyDescent="0.25">
      <c r="A21" s="14" t="s">
        <v>37</v>
      </c>
      <c r="B21" s="13">
        <v>0.61</v>
      </c>
    </row>
    <row r="22" spans="1:17" x14ac:dyDescent="0.25">
      <c r="A22" s="12" t="s">
        <v>38</v>
      </c>
      <c r="B22" s="13"/>
    </row>
    <row r="23" spans="1:17" x14ac:dyDescent="0.25">
      <c r="A23" s="17" t="s">
        <v>72</v>
      </c>
      <c r="B23" s="13">
        <f>94.5</f>
        <v>94.5</v>
      </c>
      <c r="C23" s="4"/>
    </row>
    <row r="24" spans="1:17" x14ac:dyDescent="0.25">
      <c r="A24" s="17" t="s">
        <v>71</v>
      </c>
      <c r="B24" s="13">
        <f>0.54</f>
        <v>0.54</v>
      </c>
      <c r="C24" s="4"/>
    </row>
    <row r="25" spans="1:17" x14ac:dyDescent="0.25">
      <c r="A25" s="18" t="s">
        <v>39</v>
      </c>
      <c r="B25" s="13"/>
      <c r="C25" s="4"/>
    </row>
    <row r="26" spans="1:17" x14ac:dyDescent="0.25">
      <c r="A26" s="17" t="s">
        <v>40</v>
      </c>
      <c r="B26" s="19">
        <v>17.600000000000001</v>
      </c>
      <c r="C26" s="4"/>
    </row>
    <row r="27" spans="1:17" ht="15.75" thickBot="1" x14ac:dyDescent="0.3">
      <c r="A27" s="20" t="s">
        <v>41</v>
      </c>
      <c r="B27" s="21">
        <v>30.9</v>
      </c>
      <c r="C27" s="1"/>
    </row>
    <row r="28" spans="1:17" ht="15.75" thickBot="1" x14ac:dyDescent="0.3"/>
    <row r="29" spans="1:17" ht="15.75" thickBot="1" x14ac:dyDescent="0.3">
      <c r="A29" s="7" t="s">
        <v>42</v>
      </c>
      <c r="B29" s="22">
        <v>20</v>
      </c>
    </row>
    <row r="30" spans="1:17" ht="15.75" thickBot="1" x14ac:dyDescent="0.3"/>
    <row r="31" spans="1:17" ht="15.75" thickBot="1" x14ac:dyDescent="0.3">
      <c r="A31" s="26" t="s">
        <v>49</v>
      </c>
      <c r="B31" s="27"/>
    </row>
    <row r="32" spans="1:17" x14ac:dyDescent="0.25">
      <c r="A32" s="8" t="s">
        <v>51</v>
      </c>
      <c r="B32" s="29">
        <f>((Main_d_œuvre+Tracteur_120+Presse)/35+ficelle)/(B49/1000)</f>
        <v>12.186122448979592</v>
      </c>
      <c r="C32" s="30"/>
    </row>
    <row r="33" spans="1:14" x14ac:dyDescent="0.25">
      <c r="A33" s="14" t="s">
        <v>52</v>
      </c>
      <c r="B33" s="31">
        <f>(Tps_charg_plat_paille/60+distance_parcelle_ferme*2/Vitesse_moy_route)*(Main_d_œuvre+Tracteur_100+Chargeur_frontal_2_fonct+plateau_12)/B51</f>
        <v>3.3581632653061226</v>
      </c>
      <c r="C33" s="30"/>
    </row>
    <row r="34" spans="1:14" x14ac:dyDescent="0.25">
      <c r="A34" s="14" t="s">
        <v>53</v>
      </c>
      <c r="B34" s="31">
        <f>(((distance_parcelle_ferme*2/Vitesse_moy_route)*(Main_d_œuvre+Tracteur_120+Benne_12_14_t))/13)</f>
        <v>0</v>
      </c>
    </row>
    <row r="35" spans="1:14" x14ac:dyDescent="0.25">
      <c r="A35" s="14" t="s">
        <v>54</v>
      </c>
      <c r="B35" s="31">
        <f>((Tps_att_charg_B18t/60+distance_parcelle_ferme*2/Vitesse_moy_route)*(Main_d_œuvre+Benne_18t+Tracteur_150)/18)</f>
        <v>0.60402777777777783</v>
      </c>
    </row>
    <row r="36" spans="1:14" x14ac:dyDescent="0.25">
      <c r="A36" s="14" t="s">
        <v>55</v>
      </c>
      <c r="B36" s="32">
        <f>((Tps_pomp_lisier+Tps_vid_lisier)/60 +(distance_parcelle_ferme*2/Vitesse_moy_route))*(Main_d_œuvre+Tracteur_150+Tonne_à_lisier_15_16_m3)/15</f>
        <v>1.0751999999999999</v>
      </c>
    </row>
    <row r="37" spans="1:14" ht="15.75" thickBot="1" x14ac:dyDescent="0.3">
      <c r="A37" s="24" t="s">
        <v>56</v>
      </c>
      <c r="B37" s="33">
        <f>((Tps_charg_ependfum/60)*(Chargeur_télescopique+Main_d_œuvre)+(Tps_charg_ependfum+Tps_vid_epend_fum)/60*(Tracteur_130+Epandeur+Main_d_œuvre))/13</f>
        <v>2.1618461538461538</v>
      </c>
    </row>
    <row r="38" spans="1:14" ht="15.75" thickBot="1" x14ac:dyDescent="0.3"/>
    <row r="39" spans="1:14" x14ac:dyDescent="0.25">
      <c r="A39" s="102" t="s">
        <v>57</v>
      </c>
      <c r="B39" s="104" t="s">
        <v>58</v>
      </c>
      <c r="C39" s="106" t="s">
        <v>59</v>
      </c>
      <c r="D39" s="107"/>
      <c r="E39" s="108"/>
      <c r="F39" s="109" t="str">
        <f>'Formulaire de saisie'!D4</f>
        <v>Fumier de bovins</v>
      </c>
      <c r="G39" s="110"/>
      <c r="H39" s="111"/>
    </row>
    <row r="40" spans="1:14" ht="15.75" thickBot="1" x14ac:dyDescent="0.3">
      <c r="A40" s="103"/>
      <c r="B40" s="105"/>
      <c r="C40" s="34" t="s">
        <v>60</v>
      </c>
      <c r="D40" s="35" t="s">
        <v>79</v>
      </c>
      <c r="E40" s="36" t="s">
        <v>61</v>
      </c>
      <c r="F40" s="34" t="s">
        <v>60</v>
      </c>
      <c r="G40" s="35" t="s">
        <v>79</v>
      </c>
      <c r="H40" s="36" t="s">
        <v>61</v>
      </c>
      <c r="I40" s="37"/>
      <c r="J40" s="37"/>
      <c r="K40" s="37"/>
      <c r="L40" s="37"/>
      <c r="M40" s="37"/>
      <c r="N40" s="37"/>
    </row>
    <row r="41" spans="1:14" x14ac:dyDescent="0.25">
      <c r="A41" s="38" t="s">
        <v>8</v>
      </c>
      <c r="B41" s="60">
        <f>'Formulaire de saisie'!D52</f>
        <v>0.75</v>
      </c>
      <c r="C41" s="61">
        <v>5</v>
      </c>
      <c r="D41" s="62">
        <v>-1</v>
      </c>
      <c r="E41" s="63">
        <f>B41*C41*D41</f>
        <v>-3.75</v>
      </c>
      <c r="F41" s="61">
        <f>IF('Formulaire de saisie'!D44="",'Formulaire de saisie'!E44,'Formulaire de saisie'!D44)</f>
        <v>5.8</v>
      </c>
      <c r="G41" s="62">
        <f>VLOOKUP('Formulaire de saisie'!C7,ref_PRO,7,0)</f>
        <v>0.2</v>
      </c>
      <c r="H41" s="63">
        <f>B41*F41*G41</f>
        <v>0.87</v>
      </c>
      <c r="I41" s="5"/>
      <c r="J41" s="5"/>
      <c r="K41" s="39"/>
      <c r="L41" s="5"/>
      <c r="M41" s="5"/>
      <c r="N41" s="39"/>
    </row>
    <row r="42" spans="1:14" x14ac:dyDescent="0.25">
      <c r="A42" s="2" t="s">
        <v>9</v>
      </c>
      <c r="B42" s="64">
        <f>'Formulaire de saisie'!D53</f>
        <v>0.75</v>
      </c>
      <c r="C42" s="65">
        <v>2.2999999999999998</v>
      </c>
      <c r="D42" s="41">
        <v>1</v>
      </c>
      <c r="E42" s="66">
        <f>B42*C42*D42</f>
        <v>1.7249999999999999</v>
      </c>
      <c r="F42" s="65">
        <f>IF('Formulaire de saisie'!D45="",'Formulaire de saisie'!E45,'Formulaire de saisie'!D45)</f>
        <v>2.2999999999999998</v>
      </c>
      <c r="G42" s="41">
        <f>VLOOKUP('Formulaire de saisie'!$C$7,ref_PRO,8,0)</f>
        <v>1</v>
      </c>
      <c r="H42" s="66">
        <f>B42*F42*G42</f>
        <v>1.7249999999999999</v>
      </c>
      <c r="I42" s="5"/>
      <c r="J42" s="5"/>
      <c r="K42" s="39"/>
      <c r="L42" s="5"/>
      <c r="M42" s="5"/>
      <c r="N42" s="39"/>
    </row>
    <row r="43" spans="1:14" x14ac:dyDescent="0.25">
      <c r="A43" s="2" t="s">
        <v>10</v>
      </c>
      <c r="B43" s="64">
        <f>'Formulaire de saisie'!D54</f>
        <v>0.6</v>
      </c>
      <c r="C43" s="65">
        <v>12</v>
      </c>
      <c r="D43" s="41">
        <v>1</v>
      </c>
      <c r="E43" s="66">
        <f>B43*C43*D43</f>
        <v>7.1999999999999993</v>
      </c>
      <c r="F43" s="65">
        <f>IF('Formulaire de saisie'!D46="",'Formulaire de saisie'!E46,'Formulaire de saisie'!D46)</f>
        <v>9.6</v>
      </c>
      <c r="G43" s="41">
        <f>VLOOKUP('Formulaire de saisie'!$C$7,ref_PRO,9,0)</f>
        <v>1</v>
      </c>
      <c r="H43" s="66">
        <f>B43*F43*G43</f>
        <v>5.76</v>
      </c>
      <c r="I43" s="5"/>
      <c r="J43" s="5"/>
      <c r="K43" s="39"/>
      <c r="L43" s="5"/>
      <c r="M43" s="5"/>
      <c r="N43" s="39"/>
    </row>
    <row r="44" spans="1:14" x14ac:dyDescent="0.25">
      <c r="A44" s="2" t="s">
        <v>11</v>
      </c>
      <c r="B44" s="64">
        <f>'Formulaire de saisie'!D55</f>
        <v>0.6</v>
      </c>
      <c r="C44" s="65">
        <v>1</v>
      </c>
      <c r="D44" s="41">
        <v>1</v>
      </c>
      <c r="E44" s="66">
        <f>B44*C44*D44</f>
        <v>0.6</v>
      </c>
      <c r="F44" s="65">
        <f>IF('Formulaire de saisie'!D47="",'Formulaire de saisie'!E47,'Formulaire de saisie'!D47)</f>
        <v>1.5</v>
      </c>
      <c r="G44" s="41">
        <f>VLOOKUP('Formulaire de saisie'!$C$7,ref_PRO,10,0)</f>
        <v>1</v>
      </c>
      <c r="H44" s="66">
        <f>B44*F44*G44</f>
        <v>0.89999999999999991</v>
      </c>
      <c r="I44" s="5"/>
      <c r="J44" s="5"/>
      <c r="K44" s="39"/>
      <c r="L44" s="5"/>
      <c r="M44" s="5"/>
      <c r="N44" s="39"/>
    </row>
    <row r="45" spans="1:14" x14ac:dyDescent="0.25">
      <c r="A45" s="2" t="s">
        <v>62</v>
      </c>
      <c r="B45" s="67">
        <f>('Formulaire de saisie'!C28-SUM('Références et calculs'!E41:E44))/('Références et calculs'!C45*D45)</f>
        <v>8.7299395501549609E-2</v>
      </c>
      <c r="C45" s="65">
        <v>765</v>
      </c>
      <c r="D45" s="41">
        <v>0.21299999999999999</v>
      </c>
      <c r="E45" s="66">
        <f>B45*C45*D45</f>
        <v>14.225000000000001</v>
      </c>
      <c r="F45" s="65">
        <f>IF('Formulaire de saisie'!D43="",'Formulaire de saisie'!E43,'Formulaire de saisie'!D43)</f>
        <v>180</v>
      </c>
      <c r="G45" s="41">
        <f>VLOOKUP('Formulaire de saisie'!$C$7,ref_PRO,11,0)</f>
        <v>0.35</v>
      </c>
      <c r="H45" s="66">
        <f>B45*F45*G45</f>
        <v>5.4998619165976246</v>
      </c>
      <c r="I45" s="5"/>
      <c r="J45" s="5"/>
      <c r="K45" s="39"/>
      <c r="L45" s="5"/>
      <c r="M45" s="5"/>
      <c r="N45" s="39"/>
    </row>
    <row r="46" spans="1:14" ht="15.75" thickBot="1" x14ac:dyDescent="0.3">
      <c r="A46" s="3" t="s">
        <v>63</v>
      </c>
      <c r="B46" s="68"/>
      <c r="C46" s="34"/>
      <c r="D46" s="35"/>
      <c r="E46" s="69">
        <f>SUM(E41:E45)</f>
        <v>20</v>
      </c>
      <c r="F46" s="34"/>
      <c r="G46" s="35"/>
      <c r="H46" s="69">
        <f>SUM(H41:H45)</f>
        <v>14.754861916597626</v>
      </c>
      <c r="I46" s="5"/>
      <c r="J46" s="5"/>
      <c r="K46" s="40"/>
      <c r="L46" s="5"/>
      <c r="M46" s="5"/>
      <c r="N46" s="40"/>
    </row>
    <row r="47" spans="1:14" ht="15.75" thickBot="1" x14ac:dyDescent="0.3"/>
    <row r="48" spans="1:14" ht="15.75" thickBot="1" x14ac:dyDescent="0.3">
      <c r="A48" s="112" t="s">
        <v>43</v>
      </c>
      <c r="B48" s="113"/>
    </row>
    <row r="49" spans="1:2" x14ac:dyDescent="0.25">
      <c r="A49" s="14" t="s">
        <v>75</v>
      </c>
      <c r="B49" s="56">
        <v>350</v>
      </c>
    </row>
    <row r="50" spans="1:2" x14ac:dyDescent="0.25">
      <c r="A50" s="14" t="s">
        <v>76</v>
      </c>
      <c r="B50" s="57">
        <v>35</v>
      </c>
    </row>
    <row r="51" spans="1:2" x14ac:dyDescent="0.25">
      <c r="A51" s="14" t="s">
        <v>77</v>
      </c>
      <c r="B51" s="58">
        <f>28*B49/1000</f>
        <v>9.8000000000000007</v>
      </c>
    </row>
    <row r="52" spans="1:2" x14ac:dyDescent="0.25">
      <c r="A52" s="59" t="s">
        <v>73</v>
      </c>
      <c r="B52" s="23">
        <v>45</v>
      </c>
    </row>
    <row r="53" spans="1:2" x14ac:dyDescent="0.25">
      <c r="A53" s="55" t="s">
        <v>74</v>
      </c>
      <c r="B53" s="23">
        <v>30</v>
      </c>
    </row>
    <row r="54" spans="1:2" x14ac:dyDescent="0.25">
      <c r="A54" s="55" t="s">
        <v>44</v>
      </c>
      <c r="B54" s="23">
        <v>15</v>
      </c>
    </row>
    <row r="55" spans="1:2" x14ac:dyDescent="0.25">
      <c r="A55" s="55" t="s">
        <v>45</v>
      </c>
      <c r="B55" s="23">
        <v>8</v>
      </c>
    </row>
    <row r="56" spans="1:2" x14ac:dyDescent="0.25">
      <c r="A56" s="55" t="s">
        <v>46</v>
      </c>
      <c r="B56" s="23">
        <v>12</v>
      </c>
    </row>
    <row r="57" spans="1:2" x14ac:dyDescent="0.25">
      <c r="A57" s="53" t="s">
        <v>47</v>
      </c>
      <c r="B57" s="25">
        <v>25</v>
      </c>
    </row>
    <row r="58" spans="1:2" x14ac:dyDescent="0.25">
      <c r="A58" s="53" t="s">
        <v>48</v>
      </c>
      <c r="B58" s="23">
        <v>6</v>
      </c>
    </row>
    <row r="59" spans="1:2" ht="15.75" thickBot="1" x14ac:dyDescent="0.3">
      <c r="A59" s="54" t="s">
        <v>50</v>
      </c>
      <c r="B59" s="28">
        <v>10</v>
      </c>
    </row>
  </sheetData>
  <sheetProtection password="CC3A" sheet="1" objects="1" scenarios="1"/>
  <mergeCells count="5">
    <mergeCell ref="A39:A40"/>
    <mergeCell ref="B39:B40"/>
    <mergeCell ref="C39:E39"/>
    <mergeCell ref="F39:H39"/>
    <mergeCell ref="A48:B4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31</vt:i4>
      </vt:variant>
    </vt:vector>
  </HeadingPairs>
  <TitlesOfParts>
    <vt:vector size="33" baseType="lpstr">
      <vt:lpstr>Formulaire de saisie</vt:lpstr>
      <vt:lpstr>Références et calculs</vt:lpstr>
      <vt:lpstr>Benne_12_14_t</vt:lpstr>
      <vt:lpstr>Benne_18t</vt:lpstr>
      <vt:lpstr>Chargeur_frontal_2_fonct</vt:lpstr>
      <vt:lpstr>Chargeur_télescopique</vt:lpstr>
      <vt:lpstr>coût_épandage_fumier</vt:lpstr>
      <vt:lpstr>coût_pressage</vt:lpstr>
      <vt:lpstr>Coût_transport_et_épandage_du_lisier</vt:lpstr>
      <vt:lpstr>coût_transport_fumier</vt:lpstr>
      <vt:lpstr>coût_transport_paille</vt:lpstr>
      <vt:lpstr>distance_parcelle_ferme</vt:lpstr>
      <vt:lpstr>Epandeur</vt:lpstr>
      <vt:lpstr>ficelle</vt:lpstr>
      <vt:lpstr>Main_d_œuvre</vt:lpstr>
      <vt:lpstr>plateau_12</vt:lpstr>
      <vt:lpstr>Presse</vt:lpstr>
      <vt:lpstr>prix_effluent_elev_départferme</vt:lpstr>
      <vt:lpstr>ref_PRO</vt:lpstr>
      <vt:lpstr>Tonne_à_lisier_15_16_m3</vt:lpstr>
      <vt:lpstr>Tps_att_charg_B18t</vt:lpstr>
      <vt:lpstr>Tps_charg_ependfum</vt:lpstr>
      <vt:lpstr>Tps_charg_plat_paille</vt:lpstr>
      <vt:lpstr>Tps_décharg_paille</vt:lpstr>
      <vt:lpstr>Tps_pomp_lisier</vt:lpstr>
      <vt:lpstr>Tps_vid_epend_fum</vt:lpstr>
      <vt:lpstr>Tps_vid_lisier</vt:lpstr>
      <vt:lpstr>Tracteur_100</vt:lpstr>
      <vt:lpstr>Tracteur_120</vt:lpstr>
      <vt:lpstr>Tracteur_130</vt:lpstr>
      <vt:lpstr>Tracteur_150</vt:lpstr>
      <vt:lpstr>Vitesse_moy_route</vt:lpstr>
      <vt:lpstr>'Formulaire de saisie'!Zone_d_impression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GAILLARD</dc:creator>
  <cp:lastModifiedBy>Julien GAILLARD</cp:lastModifiedBy>
  <cp:lastPrinted>2020-06-08T15:16:10Z</cp:lastPrinted>
  <dcterms:created xsi:type="dcterms:W3CDTF">2020-06-08T12:34:56Z</dcterms:created>
  <dcterms:modified xsi:type="dcterms:W3CDTF">2020-06-08T15:37:19Z</dcterms:modified>
</cp:coreProperties>
</file>